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codeName="ThisWorkbook" defaultThemeVersion="124226"/>
  <mc:AlternateContent xmlns:mc="http://schemas.openxmlformats.org/markup-compatibility/2006">
    <mc:Choice Requires="x15">
      <x15ac:absPath xmlns:x15ac="http://schemas.microsoft.com/office/spreadsheetml/2010/11/ac" url="https://benesovnc-my.sharepoint.com/personal/starosta_benesovnc_cz1/Documents/Pracovní PC/Dokumenty/PRVOK/Vodné stočné 2024/"/>
    </mc:Choice>
  </mc:AlternateContent>
  <xr:revisionPtr revIDLastSave="0" documentId="8_{DA5128A8-ED71-4C51-B136-61F0F1B0A8C2}" xr6:coauthVersionLast="47" xr6:coauthVersionMax="47" xr10:uidLastSave="{00000000-0000-0000-0000-000000000000}"/>
  <bookViews>
    <workbookView xWindow="1950" yWindow="1950" windowWidth="21600" windowHeight="11385" tabRatio="751" activeTab="2" xr2:uid="{00000000-000D-0000-FFFF-FFFF00000000}"/>
  </bookViews>
  <sheets>
    <sheet name="Krycí list" sheetId="7" r:id="rId1"/>
    <sheet name="Postup" sheetId="4" r:id="rId2"/>
    <sheet name="Nabídka" sheetId="1" r:id="rId3"/>
    <sheet name="Provozování" sheetId="2" r:id="rId4"/>
    <sheet name="Kalkulace a Porovnání" sheetId="6" r:id="rId5"/>
    <sheet name="Dvousložková cena" sheetId="9" state="hidden" r:id="rId6"/>
    <sheet name="Tisk" sheetId="8" r:id="rId7"/>
    <sheet name="Legenda" sheetId="3" r:id="rId8"/>
    <sheet name="Výpočty" sheetId="5" state="hidden" r:id="rId9"/>
  </sheets>
  <externalReferences>
    <externalReference r:id="rId10"/>
    <externalReference r:id="rId11"/>
  </externalReferences>
  <definedNames>
    <definedName name="CZ_EN">[1]Slovnik!$C$1</definedName>
    <definedName name="jjjjj">[2]Slovník!$C$1</definedName>
    <definedName name="k">[2]Slovník!$C$4:$D$531</definedName>
    <definedName name="_xlnm.Print_Area" localSheetId="0">'Krycí list'!$A$1:$G$37</definedName>
    <definedName name="_xlnm.Print_Area" localSheetId="2">Nabídka!$A$1:$L$103</definedName>
    <definedName name="_xlnm.Print_Area" localSheetId="1">Postup!$A$1:$Q$80</definedName>
    <definedName name="_xlnm.Print_Area" localSheetId="6">Tisk!$A$1:$AC$836</definedName>
    <definedName name="Slovnik">[1]Slovnik!$C$4:$D$326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 l="1"/>
  <c r="F34" i="2"/>
  <c r="F51" i="2"/>
  <c r="C831" i="6"/>
  <c r="C755" i="6"/>
  <c r="C679" i="6"/>
  <c r="C527" i="6"/>
  <c r="C451" i="6"/>
  <c r="C375" i="6"/>
  <c r="C299" i="6"/>
  <c r="C223" i="6"/>
  <c r="C147" i="6"/>
  <c r="BK59" i="2" l="1"/>
  <c r="BJ59" i="2"/>
  <c r="BF59" i="2"/>
  <c r="BE59" i="2"/>
  <c r="BA59" i="2"/>
  <c r="AZ59" i="2"/>
  <c r="AV59" i="2"/>
  <c r="AU59" i="2"/>
  <c r="AQ59" i="2"/>
  <c r="AP59" i="2"/>
  <c r="AL59" i="2"/>
  <c r="AK59" i="2"/>
  <c r="AG59" i="2"/>
  <c r="AF59" i="2"/>
  <c r="AB59" i="2"/>
  <c r="AA59" i="2"/>
  <c r="W59" i="2"/>
  <c r="V59" i="2"/>
  <c r="R59" i="2"/>
  <c r="Q59" i="2"/>
  <c r="J59" i="2"/>
  <c r="I59" i="2"/>
  <c r="Q62" i="6" l="1"/>
  <c r="P62" i="6"/>
  <c r="Q138" i="6"/>
  <c r="P138" i="6"/>
  <c r="F35" i="2"/>
  <c r="E35" i="2"/>
  <c r="E73" i="2" l="1"/>
  <c r="BK85" i="2" l="1"/>
  <c r="BJ85" i="2"/>
  <c r="BK46" i="2"/>
  <c r="BJ46" i="2"/>
  <c r="BK25" i="2"/>
  <c r="BJ25" i="2"/>
  <c r="BF85" i="2"/>
  <c r="BE85" i="2"/>
  <c r="BF46" i="2"/>
  <c r="BE46" i="2"/>
  <c r="BF25" i="2"/>
  <c r="BE25" i="2"/>
  <c r="BA85" i="2"/>
  <c r="AZ85" i="2"/>
  <c r="BA46" i="2"/>
  <c r="AZ46" i="2"/>
  <c r="BA25" i="2"/>
  <c r="AZ25" i="2"/>
  <c r="AV85" i="2"/>
  <c r="AU85" i="2"/>
  <c r="AV46" i="2"/>
  <c r="AU46" i="2"/>
  <c r="AV25" i="2"/>
  <c r="AU25" i="2"/>
  <c r="AQ46" i="2"/>
  <c r="AP46" i="2"/>
  <c r="AQ25" i="2"/>
  <c r="AP25" i="2"/>
  <c r="AL46" i="2"/>
  <c r="AK46" i="2"/>
  <c r="AL25" i="2"/>
  <c r="AK25" i="2"/>
  <c r="AG85" i="2"/>
  <c r="AF85" i="2"/>
  <c r="AG48" i="2"/>
  <c r="AF48" i="2"/>
  <c r="AG46" i="2"/>
  <c r="AF46" i="2"/>
  <c r="AG25" i="2"/>
  <c r="AF25" i="2"/>
  <c r="AB85" i="2"/>
  <c r="AA85" i="2"/>
  <c r="AB48" i="2"/>
  <c r="AA48" i="2"/>
  <c r="AB46" i="2"/>
  <c r="AA46" i="2"/>
  <c r="AB25" i="2"/>
  <c r="AA25" i="2"/>
  <c r="W85" i="2"/>
  <c r="V85" i="2"/>
  <c r="W48" i="2"/>
  <c r="V48" i="2"/>
  <c r="W46" i="2"/>
  <c r="V46" i="2"/>
  <c r="W25" i="2"/>
  <c r="V25" i="2"/>
  <c r="BK66" i="2"/>
  <c r="BJ66" i="2"/>
  <c r="BF66" i="2"/>
  <c r="BE66" i="2"/>
  <c r="BA66" i="2"/>
  <c r="AZ66" i="2"/>
  <c r="AV66" i="2"/>
  <c r="AU66" i="2"/>
  <c r="AQ66" i="2"/>
  <c r="AP66" i="2"/>
  <c r="AL66" i="2"/>
  <c r="AK66" i="2"/>
  <c r="AG66" i="2"/>
  <c r="AF66" i="2"/>
  <c r="AB66" i="2"/>
  <c r="AA66" i="2"/>
  <c r="W66" i="2"/>
  <c r="V66" i="2"/>
  <c r="R66" i="2"/>
  <c r="Q66" i="2"/>
  <c r="R48" i="2"/>
  <c r="Q48" i="2"/>
  <c r="R46" i="2"/>
  <c r="Q46" i="2"/>
  <c r="R28" i="2"/>
  <c r="Q28" i="2"/>
  <c r="R26" i="2"/>
  <c r="Q26" i="2"/>
  <c r="R25" i="2"/>
  <c r="Q25" i="2"/>
  <c r="BM73" i="2"/>
  <c r="BL73" i="2"/>
  <c r="BK73" i="2"/>
  <c r="BJ73" i="2"/>
  <c r="BI73" i="2"/>
  <c r="BH73" i="2"/>
  <c r="BF73" i="2"/>
  <c r="BE73" i="2"/>
  <c r="BD73" i="2"/>
  <c r="BC73" i="2"/>
  <c r="BA73" i="2"/>
  <c r="AZ73" i="2"/>
  <c r="AY73" i="2"/>
  <c r="AX73" i="2"/>
  <c r="AV73" i="2"/>
  <c r="AU73" i="2"/>
  <c r="AT73" i="2"/>
  <c r="AS73" i="2"/>
  <c r="AQ73" i="2"/>
  <c r="AP73" i="2"/>
  <c r="AO73" i="2"/>
  <c r="AN73" i="2"/>
  <c r="AL73" i="2"/>
  <c r="AK73" i="2"/>
  <c r="AJ73" i="2"/>
  <c r="AI73" i="2"/>
  <c r="AG73" i="2"/>
  <c r="AF73" i="2"/>
  <c r="AE73" i="2"/>
  <c r="AD73" i="2"/>
  <c r="AB73" i="2"/>
  <c r="AA73" i="2"/>
  <c r="Z73" i="2"/>
  <c r="Y73" i="2"/>
  <c r="W73" i="2"/>
  <c r="V73" i="2"/>
  <c r="U73" i="2"/>
  <c r="T73" i="2"/>
  <c r="P73" i="2"/>
  <c r="O73" i="2"/>
  <c r="R73" i="2"/>
  <c r="Q73" i="2"/>
  <c r="J73" i="2"/>
  <c r="I73" i="2"/>
  <c r="H73" i="2"/>
  <c r="G73" i="2"/>
  <c r="BK92" i="2"/>
  <c r="BJ92" i="2"/>
  <c r="BF92" i="2"/>
  <c r="BE92" i="2"/>
  <c r="BA92" i="2"/>
  <c r="AZ92" i="2"/>
  <c r="AV92" i="2"/>
  <c r="AU92" i="2"/>
  <c r="AQ92" i="2"/>
  <c r="AP92" i="2"/>
  <c r="AL92" i="2"/>
  <c r="AK92" i="2"/>
  <c r="AG92" i="2"/>
  <c r="AF92" i="2"/>
  <c r="AB92" i="2"/>
  <c r="AA92" i="2"/>
  <c r="W92" i="2"/>
  <c r="V92" i="2"/>
  <c r="R92" i="2"/>
  <c r="Q92" i="2"/>
  <c r="J92" i="2"/>
  <c r="I92" i="2"/>
  <c r="J48" i="2"/>
  <c r="I48" i="2"/>
  <c r="H84" i="1" l="1"/>
  <c r="E46" i="4" s="1"/>
  <c r="G84" i="1"/>
  <c r="E45" i="4" s="1"/>
  <c r="BK37" i="2" l="1"/>
  <c r="BJ37" i="2"/>
  <c r="BF37" i="2"/>
  <c r="BE37" i="2"/>
  <c r="BA37" i="2"/>
  <c r="AZ37" i="2"/>
  <c r="AV37" i="2"/>
  <c r="AU37" i="2"/>
  <c r="AQ37" i="2"/>
  <c r="AP37" i="2"/>
  <c r="AL37" i="2"/>
  <c r="AK37" i="2"/>
  <c r="AG37" i="2"/>
  <c r="AF37" i="2"/>
  <c r="AB37" i="2"/>
  <c r="AA37" i="2"/>
  <c r="W37" i="2"/>
  <c r="V37" i="2"/>
  <c r="R37" i="2"/>
  <c r="Q37" i="2"/>
  <c r="O36" i="4" l="1"/>
  <c r="N36" i="4"/>
  <c r="M36" i="4"/>
  <c r="L36" i="4"/>
  <c r="K36" i="4"/>
  <c r="J36" i="4"/>
  <c r="I36" i="4"/>
  <c r="H36" i="4"/>
  <c r="G36" i="4"/>
  <c r="F36" i="4"/>
  <c r="O35" i="4"/>
  <c r="N35" i="4"/>
  <c r="M35" i="4"/>
  <c r="L35" i="4"/>
  <c r="K35" i="4"/>
  <c r="J35" i="4"/>
  <c r="I35" i="4"/>
  <c r="H35" i="4"/>
  <c r="G35" i="4"/>
  <c r="F35" i="4"/>
  <c r="E36" i="4"/>
  <c r="E35" i="4"/>
  <c r="F37" i="2" l="1"/>
  <c r="H32" i="1"/>
  <c r="E37" i="2"/>
  <c r="F32" i="1"/>
  <c r="AB832" i="8" l="1"/>
  <c r="AA832" i="8"/>
  <c r="Z832" i="8"/>
  <c r="Y832" i="8"/>
  <c r="Q832" i="8"/>
  <c r="P832" i="8"/>
  <c r="H832" i="8"/>
  <c r="G832" i="8"/>
  <c r="AB756" i="8"/>
  <c r="AA756" i="8"/>
  <c r="Z756" i="8"/>
  <c r="Y756" i="8"/>
  <c r="Q756" i="8"/>
  <c r="P756" i="8"/>
  <c r="H756" i="8"/>
  <c r="G756" i="8"/>
  <c r="AB680" i="8"/>
  <c r="AA680" i="8"/>
  <c r="Z680" i="8"/>
  <c r="Y680" i="8"/>
  <c r="Q680" i="8"/>
  <c r="P680" i="8"/>
  <c r="H680" i="8"/>
  <c r="G680" i="8"/>
  <c r="AB604" i="8"/>
  <c r="AA604" i="8"/>
  <c r="Z604" i="8"/>
  <c r="Y604" i="8"/>
  <c r="Q604" i="8"/>
  <c r="P604" i="8"/>
  <c r="H604" i="8"/>
  <c r="G604" i="8"/>
  <c r="AB528" i="8"/>
  <c r="AA528" i="8"/>
  <c r="Z528" i="8"/>
  <c r="Y528" i="8"/>
  <c r="Q528" i="8"/>
  <c r="P528" i="8"/>
  <c r="H528" i="8"/>
  <c r="G528" i="8"/>
  <c r="AB452" i="8"/>
  <c r="AA452" i="8"/>
  <c r="Z452" i="8"/>
  <c r="Y452" i="8"/>
  <c r="Q452" i="8"/>
  <c r="P452" i="8"/>
  <c r="H452" i="8"/>
  <c r="G452" i="8"/>
  <c r="AB376" i="8"/>
  <c r="AA376" i="8"/>
  <c r="Z376" i="8"/>
  <c r="Y376" i="8"/>
  <c r="Q376" i="8"/>
  <c r="P376" i="8"/>
  <c r="H376" i="8"/>
  <c r="G376" i="8"/>
  <c r="AB300" i="8"/>
  <c r="AA300" i="8"/>
  <c r="Z300" i="8"/>
  <c r="Y300" i="8"/>
  <c r="Q300" i="8"/>
  <c r="P300" i="8"/>
  <c r="H300" i="8"/>
  <c r="G300" i="8"/>
  <c r="AB224" i="8"/>
  <c r="AA224" i="8"/>
  <c r="Z224" i="8"/>
  <c r="Y224" i="8"/>
  <c r="Q224" i="8"/>
  <c r="P224" i="8"/>
  <c r="H224" i="8"/>
  <c r="G224" i="8"/>
  <c r="AB148" i="8"/>
  <c r="AA148" i="8"/>
  <c r="Z148" i="8"/>
  <c r="Y148" i="8"/>
  <c r="Q148" i="8"/>
  <c r="P148" i="8"/>
  <c r="H148" i="8"/>
  <c r="G148" i="8"/>
  <c r="AB72" i="8"/>
  <c r="AA72" i="8"/>
  <c r="Z72" i="8"/>
  <c r="Y72" i="8"/>
  <c r="AA61" i="8"/>
  <c r="Q72" i="8"/>
  <c r="P72" i="8"/>
  <c r="H72" i="8"/>
  <c r="G72" i="8"/>
  <c r="Z801" i="8" l="1"/>
  <c r="W801" i="8"/>
  <c r="P801" i="8"/>
  <c r="N801" i="8"/>
  <c r="G801" i="8"/>
  <c r="E801" i="8"/>
  <c r="AB725" i="8"/>
  <c r="AA725" i="8"/>
  <c r="Z725" i="8"/>
  <c r="Y725" i="8"/>
  <c r="X725" i="8"/>
  <c r="W725" i="8"/>
  <c r="P725" i="8"/>
  <c r="N725" i="8"/>
  <c r="G725" i="8"/>
  <c r="E725" i="8"/>
  <c r="AB649" i="8"/>
  <c r="AA649" i="8"/>
  <c r="Z649" i="8"/>
  <c r="Y649" i="8"/>
  <c r="X649" i="8"/>
  <c r="W649" i="8"/>
  <c r="P649" i="8"/>
  <c r="N649" i="8"/>
  <c r="G649" i="8"/>
  <c r="E649" i="8"/>
  <c r="AB573" i="8"/>
  <c r="AA573" i="8"/>
  <c r="Z573" i="8"/>
  <c r="Y573" i="8"/>
  <c r="X573" i="8"/>
  <c r="W573" i="8"/>
  <c r="P573" i="8"/>
  <c r="N573" i="8"/>
  <c r="G573" i="8"/>
  <c r="E573" i="8"/>
  <c r="AB497" i="8"/>
  <c r="AA497" i="8"/>
  <c r="Z497" i="8"/>
  <c r="Y497" i="8"/>
  <c r="X497" i="8"/>
  <c r="W497" i="8"/>
  <c r="P497" i="8"/>
  <c r="N497" i="8"/>
  <c r="G497" i="8"/>
  <c r="E497" i="8"/>
  <c r="AB421" i="8"/>
  <c r="AA421" i="8"/>
  <c r="Z421" i="8"/>
  <c r="Y421" i="8"/>
  <c r="X421" i="8"/>
  <c r="W421" i="8"/>
  <c r="P421" i="8"/>
  <c r="N421" i="8"/>
  <c r="G421" i="8"/>
  <c r="E421" i="8"/>
  <c r="AB345" i="8"/>
  <c r="AA345" i="8"/>
  <c r="Z345" i="8"/>
  <c r="Y345" i="8"/>
  <c r="X345" i="8"/>
  <c r="W345" i="8"/>
  <c r="P345" i="8"/>
  <c r="N345" i="8"/>
  <c r="G345" i="8"/>
  <c r="E345" i="8"/>
  <c r="AB269" i="8"/>
  <c r="AA269" i="8"/>
  <c r="Z269" i="8"/>
  <c r="Y269" i="8"/>
  <c r="X269" i="8"/>
  <c r="W269" i="8"/>
  <c r="P269" i="8"/>
  <c r="N269" i="8"/>
  <c r="G269" i="8"/>
  <c r="E269" i="8"/>
  <c r="AB193" i="8"/>
  <c r="AA193" i="8"/>
  <c r="Z193" i="8"/>
  <c r="Y193" i="8"/>
  <c r="X193" i="8"/>
  <c r="W193" i="8"/>
  <c r="P193" i="8"/>
  <c r="N193" i="8"/>
  <c r="G193" i="8"/>
  <c r="E193" i="8"/>
  <c r="AB117" i="8"/>
  <c r="AA117" i="8"/>
  <c r="Z117" i="8"/>
  <c r="Y117" i="8"/>
  <c r="X117" i="8"/>
  <c r="W117" i="8"/>
  <c r="P117" i="8"/>
  <c r="N117" i="8"/>
  <c r="G117" i="8"/>
  <c r="E117" i="8"/>
  <c r="AB41" i="8" l="1"/>
  <c r="AA41" i="8"/>
  <c r="Z41" i="8"/>
  <c r="Y41" i="8"/>
  <c r="X41" i="8"/>
  <c r="W41" i="8"/>
  <c r="P41" i="8"/>
  <c r="N41" i="8"/>
  <c r="G41" i="8"/>
  <c r="E41" i="8"/>
  <c r="BI46" i="2" l="1"/>
  <c r="BH46" i="2"/>
  <c r="BD46" i="2"/>
  <c r="H725" i="6" s="1"/>
  <c r="H725" i="8" s="1"/>
  <c r="BC46" i="2"/>
  <c r="F725" i="6" s="1"/>
  <c r="F725" i="8" s="1"/>
  <c r="AY46" i="2"/>
  <c r="H649" i="6" s="1"/>
  <c r="H649" i="8" s="1"/>
  <c r="AX46" i="2"/>
  <c r="F649" i="6" s="1"/>
  <c r="F649" i="8" s="1"/>
  <c r="AT46" i="2"/>
  <c r="H573" i="6" s="1"/>
  <c r="H573" i="8" s="1"/>
  <c r="AS46" i="2"/>
  <c r="F573" i="6" s="1"/>
  <c r="F573" i="8" s="1"/>
  <c r="AO46" i="2"/>
  <c r="H497" i="6" s="1"/>
  <c r="H497" i="8" s="1"/>
  <c r="AN46" i="2"/>
  <c r="F497" i="6" s="1"/>
  <c r="F497" i="8" s="1"/>
  <c r="AJ46" i="2"/>
  <c r="H421" i="6" s="1"/>
  <c r="H421" i="8" s="1"/>
  <c r="AI46" i="2"/>
  <c r="F421" i="6" s="1"/>
  <c r="F421" i="8" s="1"/>
  <c r="AE46" i="2"/>
  <c r="H345" i="6" s="1"/>
  <c r="H345" i="8" s="1"/>
  <c r="AD46" i="2"/>
  <c r="F345" i="6" s="1"/>
  <c r="F345" i="8" s="1"/>
  <c r="Z46" i="2"/>
  <c r="H269" i="6" s="1"/>
  <c r="H269" i="8" s="1"/>
  <c r="Y46" i="2"/>
  <c r="F269" i="6" s="1"/>
  <c r="F269" i="8" s="1"/>
  <c r="U46" i="2"/>
  <c r="H193" i="6" s="1"/>
  <c r="H193" i="8" s="1"/>
  <c r="T46" i="2"/>
  <c r="F193" i="6" s="1"/>
  <c r="F193" i="8" s="1"/>
  <c r="P46" i="2"/>
  <c r="H117" i="6" s="1"/>
  <c r="H117" i="8" s="1"/>
  <c r="O46" i="2"/>
  <c r="F117" i="6" s="1"/>
  <c r="F117" i="8" s="1"/>
  <c r="F48" i="2"/>
  <c r="E48" i="2"/>
  <c r="F46" i="2"/>
  <c r="H41" i="6" s="1"/>
  <c r="H41" i="8" s="1"/>
  <c r="E46" i="2"/>
  <c r="F41" i="6" s="1"/>
  <c r="F41" i="8" s="1"/>
  <c r="E36" i="2" l="1"/>
  <c r="F84" i="2" l="1"/>
  <c r="E66" i="2"/>
  <c r="Q801" i="6" l="1"/>
  <c r="Q801" i="8" s="1"/>
  <c r="O801" i="6"/>
  <c r="O801" i="8" s="1"/>
  <c r="BK45" i="2"/>
  <c r="BJ45" i="2"/>
  <c r="BK44" i="2"/>
  <c r="BJ44" i="2"/>
  <c r="BK43" i="2"/>
  <c r="BJ43" i="2"/>
  <c r="BK42" i="2"/>
  <c r="BJ42" i="2"/>
  <c r="BK41" i="2"/>
  <c r="BJ41" i="2"/>
  <c r="BK40" i="2"/>
  <c r="BJ40" i="2"/>
  <c r="BK36" i="2"/>
  <c r="BJ36" i="2"/>
  <c r="BK35" i="2"/>
  <c r="BJ35" i="2"/>
  <c r="BK34" i="2"/>
  <c r="BJ34" i="2"/>
  <c r="BK32" i="2"/>
  <c r="BJ32" i="2"/>
  <c r="BK31" i="2"/>
  <c r="BJ31" i="2"/>
  <c r="BK29" i="2"/>
  <c r="BJ29" i="2"/>
  <c r="BK26" i="2"/>
  <c r="BJ26" i="2"/>
  <c r="Q725" i="6"/>
  <c r="Q725" i="8" s="1"/>
  <c r="O725" i="6"/>
  <c r="O725" i="8" s="1"/>
  <c r="BF45" i="2"/>
  <c r="BE45" i="2"/>
  <c r="BF44" i="2"/>
  <c r="BE44" i="2"/>
  <c r="BF43" i="2"/>
  <c r="BE43" i="2"/>
  <c r="BF42" i="2"/>
  <c r="BE42" i="2"/>
  <c r="BF41" i="2"/>
  <c r="BE41" i="2"/>
  <c r="BF40" i="2"/>
  <c r="BE40" i="2"/>
  <c r="BF36" i="2"/>
  <c r="BE36" i="2"/>
  <c r="BF35" i="2"/>
  <c r="BE35" i="2"/>
  <c r="BF34" i="2"/>
  <c r="BE34" i="2"/>
  <c r="BF32" i="2"/>
  <c r="BE32" i="2"/>
  <c r="BF31" i="2"/>
  <c r="BE31" i="2"/>
  <c r="BF29" i="2"/>
  <c r="BE29" i="2"/>
  <c r="BF26" i="2"/>
  <c r="BE26" i="2"/>
  <c r="Q649" i="6"/>
  <c r="Q649" i="8" s="1"/>
  <c r="O649" i="6"/>
  <c r="O649" i="8" s="1"/>
  <c r="BA45" i="2"/>
  <c r="AZ45" i="2"/>
  <c r="BA44" i="2"/>
  <c r="AZ44" i="2"/>
  <c r="BA43" i="2"/>
  <c r="AZ43" i="2"/>
  <c r="BA42" i="2"/>
  <c r="AZ42" i="2"/>
  <c r="BA41" i="2"/>
  <c r="AZ41" i="2"/>
  <c r="BA40" i="2"/>
  <c r="AZ40" i="2"/>
  <c r="BA36" i="2"/>
  <c r="AZ36" i="2"/>
  <c r="BA35" i="2"/>
  <c r="AZ35" i="2"/>
  <c r="BA34" i="2"/>
  <c r="AZ34" i="2"/>
  <c r="BA32" i="2"/>
  <c r="AZ32" i="2"/>
  <c r="BA31" i="2"/>
  <c r="AZ31" i="2"/>
  <c r="BA29" i="2"/>
  <c r="AZ29" i="2"/>
  <c r="BA26" i="2"/>
  <c r="AZ26" i="2"/>
  <c r="Q573" i="6"/>
  <c r="Q573" i="8" s="1"/>
  <c r="O573" i="6"/>
  <c r="O573" i="8" s="1"/>
  <c r="AV45" i="2"/>
  <c r="AU45" i="2"/>
  <c r="AV44" i="2"/>
  <c r="AU44" i="2"/>
  <c r="AV43" i="2"/>
  <c r="AU43" i="2"/>
  <c r="AV42" i="2"/>
  <c r="AU42" i="2"/>
  <c r="AV41" i="2"/>
  <c r="AU41" i="2"/>
  <c r="AV40" i="2"/>
  <c r="AU40" i="2"/>
  <c r="AV36" i="2"/>
  <c r="AU36" i="2"/>
  <c r="AV35" i="2"/>
  <c r="AU35" i="2"/>
  <c r="AV34" i="2"/>
  <c r="AU34" i="2"/>
  <c r="AV32" i="2"/>
  <c r="AU32" i="2"/>
  <c r="AV31" i="2"/>
  <c r="AU31" i="2"/>
  <c r="AV29" i="2"/>
  <c r="AU29" i="2"/>
  <c r="AV26" i="2"/>
  <c r="AU26" i="2"/>
  <c r="Q497" i="6"/>
  <c r="Q497" i="8" s="1"/>
  <c r="O497" i="6"/>
  <c r="O497" i="8" s="1"/>
  <c r="AQ45" i="2"/>
  <c r="AP45" i="2"/>
  <c r="AQ44" i="2"/>
  <c r="AP44" i="2"/>
  <c r="AQ43" i="2"/>
  <c r="AP43" i="2"/>
  <c r="AQ42" i="2"/>
  <c r="AP42" i="2"/>
  <c r="AQ41" i="2"/>
  <c r="AP41" i="2"/>
  <c r="AQ40" i="2"/>
  <c r="AP40" i="2"/>
  <c r="AQ36" i="2"/>
  <c r="AP36" i="2"/>
  <c r="AQ35" i="2"/>
  <c r="AP35" i="2"/>
  <c r="AQ34" i="2"/>
  <c r="AP34" i="2"/>
  <c r="AQ32" i="2"/>
  <c r="AP32" i="2"/>
  <c r="AQ31" i="2"/>
  <c r="AP31" i="2"/>
  <c r="AQ29" i="2"/>
  <c r="AP29" i="2"/>
  <c r="AQ26" i="2"/>
  <c r="AP26" i="2"/>
  <c r="Q421" i="6"/>
  <c r="Q421" i="8" s="1"/>
  <c r="O421" i="6"/>
  <c r="O421" i="8" s="1"/>
  <c r="AL45" i="2"/>
  <c r="AK45" i="2"/>
  <c r="AL44" i="2"/>
  <c r="AK44" i="2"/>
  <c r="AL43" i="2"/>
  <c r="AK43" i="2"/>
  <c r="AL42" i="2"/>
  <c r="AK42" i="2"/>
  <c r="AL41" i="2"/>
  <c r="AK41" i="2"/>
  <c r="AL40" i="2"/>
  <c r="AK40" i="2"/>
  <c r="AL36" i="2"/>
  <c r="AK36" i="2"/>
  <c r="AL35" i="2"/>
  <c r="AK35" i="2"/>
  <c r="AL34" i="2"/>
  <c r="AK34" i="2"/>
  <c r="AL32" i="2"/>
  <c r="AK32" i="2"/>
  <c r="AL31" i="2"/>
  <c r="AK31" i="2"/>
  <c r="AL29" i="2"/>
  <c r="AK29" i="2"/>
  <c r="AL26" i="2"/>
  <c r="AK26" i="2"/>
  <c r="Q345" i="6"/>
  <c r="Q345" i="8" s="1"/>
  <c r="O345" i="6"/>
  <c r="O345" i="8" s="1"/>
  <c r="AG45" i="2"/>
  <c r="AF45" i="2"/>
  <c r="AG44" i="2"/>
  <c r="AF44" i="2"/>
  <c r="AG43" i="2"/>
  <c r="AF43" i="2"/>
  <c r="AG42" i="2"/>
  <c r="AF42" i="2"/>
  <c r="AG41" i="2"/>
  <c r="AF41" i="2"/>
  <c r="AG40" i="2"/>
  <c r="AF40" i="2"/>
  <c r="AG36" i="2"/>
  <c r="AF36" i="2"/>
  <c r="AG35" i="2"/>
  <c r="AF35" i="2"/>
  <c r="AG34" i="2"/>
  <c r="AF34" i="2"/>
  <c r="AG32" i="2"/>
  <c r="AF32" i="2"/>
  <c r="AG31" i="2"/>
  <c r="AF31" i="2"/>
  <c r="AG29" i="2"/>
  <c r="AF29" i="2"/>
  <c r="AG26" i="2"/>
  <c r="AF26" i="2"/>
  <c r="Q269" i="6"/>
  <c r="Q269" i="8" s="1"/>
  <c r="O269" i="6"/>
  <c r="O269" i="8" s="1"/>
  <c r="AB45" i="2"/>
  <c r="AA45" i="2"/>
  <c r="AB44" i="2"/>
  <c r="AA44" i="2"/>
  <c r="AB43" i="2"/>
  <c r="AA43" i="2"/>
  <c r="AB42" i="2"/>
  <c r="AA42" i="2"/>
  <c r="AB41" i="2"/>
  <c r="AA41" i="2"/>
  <c r="AB40" i="2"/>
  <c r="AA40" i="2"/>
  <c r="AB36" i="2"/>
  <c r="AA36" i="2"/>
  <c r="AB35" i="2"/>
  <c r="AA35" i="2"/>
  <c r="AB34" i="2"/>
  <c r="AA34" i="2"/>
  <c r="AB32" i="2"/>
  <c r="AA32" i="2"/>
  <c r="AB31" i="2"/>
  <c r="AA31" i="2"/>
  <c r="AB29" i="2"/>
  <c r="AA29" i="2"/>
  <c r="AB26" i="2"/>
  <c r="AA26" i="2"/>
  <c r="Q193" i="6"/>
  <c r="Q193" i="8" s="1"/>
  <c r="O193" i="6"/>
  <c r="O193" i="8" s="1"/>
  <c r="W45" i="2"/>
  <c r="V45" i="2"/>
  <c r="W44" i="2"/>
  <c r="V44" i="2"/>
  <c r="W43" i="2"/>
  <c r="V43" i="2"/>
  <c r="W42" i="2"/>
  <c r="V42" i="2"/>
  <c r="W41" i="2"/>
  <c r="V41" i="2"/>
  <c r="W40" i="2"/>
  <c r="V40" i="2"/>
  <c r="W36" i="2"/>
  <c r="V36" i="2"/>
  <c r="W35" i="2"/>
  <c r="V35" i="2"/>
  <c r="W34" i="2"/>
  <c r="V34" i="2"/>
  <c r="W32" i="2"/>
  <c r="V32" i="2"/>
  <c r="W31" i="2"/>
  <c r="V31" i="2"/>
  <c r="W29" i="2"/>
  <c r="V29" i="2"/>
  <c r="W26" i="2"/>
  <c r="V26" i="2"/>
  <c r="R45" i="2"/>
  <c r="R44" i="2"/>
  <c r="R43" i="2"/>
  <c r="R42" i="2"/>
  <c r="R41" i="2"/>
  <c r="R40" i="2"/>
  <c r="R36" i="2"/>
  <c r="R35" i="2"/>
  <c r="R34" i="2"/>
  <c r="R32" i="2"/>
  <c r="R31" i="2"/>
  <c r="R29" i="2"/>
  <c r="Q45" i="2"/>
  <c r="Q44" i="2"/>
  <c r="Q43" i="2"/>
  <c r="Q42" i="2"/>
  <c r="Q41" i="2"/>
  <c r="Q40" i="2"/>
  <c r="Q36" i="2"/>
  <c r="Q35" i="2"/>
  <c r="Q32" i="2"/>
  <c r="Q31" i="2"/>
  <c r="Q29" i="2"/>
  <c r="Q34" i="2"/>
  <c r="BK38" i="2" l="1"/>
  <c r="BA33" i="2"/>
  <c r="AG38" i="2"/>
  <c r="AL30" i="2"/>
  <c r="AL38" i="2"/>
  <c r="AQ38" i="2"/>
  <c r="BA38" i="2"/>
  <c r="V30" i="2"/>
  <c r="V38" i="2"/>
  <c r="AA38" i="2"/>
  <c r="AK33" i="2"/>
  <c r="AZ30" i="2"/>
  <c r="BF33" i="2"/>
  <c r="BF38" i="2"/>
  <c r="BK33" i="2"/>
  <c r="AB33" i="2"/>
  <c r="AV33" i="2"/>
  <c r="BE30" i="2"/>
  <c r="AK38" i="2"/>
  <c r="AP38" i="2"/>
  <c r="AG30" i="2"/>
  <c r="AV30" i="2"/>
  <c r="AV38" i="2"/>
  <c r="W30" i="2"/>
  <c r="V33" i="2"/>
  <c r="W38" i="2"/>
  <c r="AF30" i="2"/>
  <c r="AF33" i="2"/>
  <c r="AL33" i="2"/>
  <c r="AQ30" i="2"/>
  <c r="AQ33" i="2"/>
  <c r="BA30" i="2"/>
  <c r="W33" i="2"/>
  <c r="AB38" i="2"/>
  <c r="AG33" i="2"/>
  <c r="AF38" i="2"/>
  <c r="AU38" i="2"/>
  <c r="BE33" i="2"/>
  <c r="BJ33" i="2"/>
  <c r="BJ30" i="2"/>
  <c r="BK30" i="2"/>
  <c r="BJ38" i="2"/>
  <c r="BF30" i="2"/>
  <c r="BE38" i="2"/>
  <c r="AZ38" i="2"/>
  <c r="AZ33" i="2"/>
  <c r="AU33" i="2"/>
  <c r="AU30" i="2"/>
  <c r="AP33" i="2"/>
  <c r="AP30" i="2"/>
  <c r="AK30" i="2"/>
  <c r="AA30" i="2"/>
  <c r="AB30" i="2"/>
  <c r="Q184" i="6" l="1"/>
  <c r="O184" i="6"/>
  <c r="Q108" i="6"/>
  <c r="O108" i="6"/>
  <c r="F85" i="2" l="1"/>
  <c r="E85" i="2"/>
  <c r="E84" i="2"/>
  <c r="Q821" i="6"/>
  <c r="Q821" i="8" s="1"/>
  <c r="P821" i="6"/>
  <c r="P821" i="8" s="1"/>
  <c r="H821" i="6"/>
  <c r="G821" i="6"/>
  <c r="Q745" i="6"/>
  <c r="Q745" i="8" s="1"/>
  <c r="P745" i="6"/>
  <c r="P745" i="8" s="1"/>
  <c r="H745" i="6"/>
  <c r="G745" i="6"/>
  <c r="Q669" i="6"/>
  <c r="P669" i="6"/>
  <c r="H669" i="6"/>
  <c r="H669" i="8" s="1"/>
  <c r="G669" i="6"/>
  <c r="G669" i="8" s="1"/>
  <c r="Q593" i="6"/>
  <c r="Q593" i="8" s="1"/>
  <c r="P593" i="6"/>
  <c r="P593" i="8" s="1"/>
  <c r="H593" i="6"/>
  <c r="G593" i="6"/>
  <c r="Q517" i="6"/>
  <c r="Q517" i="8" s="1"/>
  <c r="P517" i="6"/>
  <c r="P517" i="8" s="1"/>
  <c r="H517" i="6"/>
  <c r="G517" i="6"/>
  <c r="Q441" i="6"/>
  <c r="Q441" i="8" s="1"/>
  <c r="P441" i="6"/>
  <c r="P441" i="8" s="1"/>
  <c r="G441" i="6"/>
  <c r="Q365" i="6"/>
  <c r="Q365" i="8" s="1"/>
  <c r="P365" i="6"/>
  <c r="P365" i="8" s="1"/>
  <c r="Q289" i="6"/>
  <c r="Q289" i="8" s="1"/>
  <c r="P289" i="6"/>
  <c r="P289" i="8" s="1"/>
  <c r="Q213" i="6"/>
  <c r="Q213" i="8" s="1"/>
  <c r="P213" i="6"/>
  <c r="P213" i="8" s="1"/>
  <c r="Q61" i="6"/>
  <c r="Q61" i="8" s="1"/>
  <c r="P61" i="6"/>
  <c r="P61" i="8" s="1"/>
  <c r="Q137" i="6"/>
  <c r="Q137" i="8" s="1"/>
  <c r="P137" i="6"/>
  <c r="P137" i="8" s="1"/>
  <c r="H61" i="6"/>
  <c r="G61" i="6"/>
  <c r="P669" i="8" l="1"/>
  <c r="Z669" i="6"/>
  <c r="Q669" i="8"/>
  <c r="AB669" i="6"/>
  <c r="Z745" i="6"/>
  <c r="Z441" i="6"/>
  <c r="Z821" i="6"/>
  <c r="AB821" i="6"/>
  <c r="AB745" i="6"/>
  <c r="AB517" i="6"/>
  <c r="G61" i="8"/>
  <c r="Z61" i="6"/>
  <c r="H61" i="8"/>
  <c r="AB61" i="6"/>
  <c r="H593" i="8"/>
  <c r="AB593" i="6"/>
  <c r="H517" i="8"/>
  <c r="H745" i="8"/>
  <c r="H821" i="8"/>
  <c r="G517" i="8"/>
  <c r="G593" i="8"/>
  <c r="G745" i="8"/>
  <c r="G821" i="8"/>
  <c r="G441" i="8"/>
  <c r="H33" i="1"/>
  <c r="H30" i="1" l="1"/>
  <c r="F30" i="1"/>
  <c r="O18" i="6" l="1"/>
  <c r="BI48" i="2" l="1"/>
  <c r="BK48" i="2" s="1"/>
  <c r="BL48" i="2"/>
  <c r="BL46" i="2"/>
  <c r="AA33" i="2" l="1"/>
  <c r="U48" i="2"/>
  <c r="AO48" i="2"/>
  <c r="AQ48" i="2" s="1"/>
  <c r="BM46" i="2"/>
  <c r="O117" i="6"/>
  <c r="O117" i="8" s="1"/>
  <c r="Z48" i="2"/>
  <c r="AT48" i="2"/>
  <c r="AV48" i="2" s="1"/>
  <c r="BM48" i="2"/>
  <c r="H48" i="2"/>
  <c r="AE48" i="2"/>
  <c r="AY48" i="2"/>
  <c r="BA48" i="2" s="1"/>
  <c r="P48" i="2"/>
  <c r="AJ48" i="2"/>
  <c r="AL48" i="2" s="1"/>
  <c r="BD48" i="2"/>
  <c r="BF48" i="2" s="1"/>
  <c r="Q117" i="6"/>
  <c r="Q117" i="8" s="1"/>
  <c r="G48" i="2"/>
  <c r="O48" i="2"/>
  <c r="T48" i="2"/>
  <c r="Y48" i="2"/>
  <c r="AD48" i="2"/>
  <c r="AI48" i="2"/>
  <c r="AK48" i="2" s="1"/>
  <c r="AN48" i="2"/>
  <c r="AP48" i="2" s="1"/>
  <c r="AS48" i="2"/>
  <c r="AU48" i="2" s="1"/>
  <c r="AX48" i="2"/>
  <c r="AZ48" i="2" s="1"/>
  <c r="BC48" i="2"/>
  <c r="BE48" i="2" s="1"/>
  <c r="BH48" i="2"/>
  <c r="BJ48" i="2" s="1"/>
  <c r="Q792" i="6" l="1"/>
  <c r="O792" i="6"/>
  <c r="Q716" i="6"/>
  <c r="O716" i="6"/>
  <c r="Q640" i="6"/>
  <c r="AA640" i="6" s="1"/>
  <c r="O640" i="6"/>
  <c r="X640" i="6" s="1"/>
  <c r="Q564" i="6"/>
  <c r="O564" i="6"/>
  <c r="Q488" i="6"/>
  <c r="O488" i="6"/>
  <c r="Q412" i="6"/>
  <c r="O412" i="6"/>
  <c r="Q336" i="6"/>
  <c r="O336" i="6"/>
  <c r="Q260" i="6"/>
  <c r="O260" i="6"/>
  <c r="BI66" i="2" l="1"/>
  <c r="BH66" i="2"/>
  <c r="BD66" i="2"/>
  <c r="BC66" i="2"/>
  <c r="AY66" i="2"/>
  <c r="AX66" i="2"/>
  <c r="AT66" i="2"/>
  <c r="AS66" i="2"/>
  <c r="AO66" i="2"/>
  <c r="AN66" i="2"/>
  <c r="AJ66" i="2"/>
  <c r="AI66" i="2"/>
  <c r="AE66" i="2"/>
  <c r="AD66" i="2"/>
  <c r="Z66" i="2"/>
  <c r="Y66" i="2"/>
  <c r="U66" i="2"/>
  <c r="T66" i="2"/>
  <c r="P66" i="2"/>
  <c r="O66" i="2"/>
  <c r="F66" i="2" l="1"/>
  <c r="F68" i="2" l="1"/>
  <c r="F60" i="1"/>
  <c r="F73" i="2"/>
  <c r="F74" i="2" l="1"/>
  <c r="F67" i="1"/>
  <c r="H79" i="1" s="1"/>
  <c r="F87" i="2"/>
  <c r="BK68" i="2" l="1"/>
  <c r="BK74" i="2" s="1"/>
  <c r="BJ68" i="2"/>
  <c r="BI68" i="2"/>
  <c r="BI74" i="2" s="1"/>
  <c r="BH68" i="2"/>
  <c r="BF68" i="2"/>
  <c r="BF74" i="2" s="1"/>
  <c r="BE68" i="2"/>
  <c r="BD68" i="2"/>
  <c r="BD74" i="2" s="1"/>
  <c r="BC68" i="2"/>
  <c r="BA68" i="2"/>
  <c r="BA74" i="2" s="1"/>
  <c r="AZ68" i="2"/>
  <c r="AY68" i="2"/>
  <c r="AY74" i="2" s="1"/>
  <c r="AX68" i="2"/>
  <c r="AV68" i="2"/>
  <c r="AV74" i="2" s="1"/>
  <c r="AU68" i="2"/>
  <c r="AT68" i="2"/>
  <c r="AT74" i="2" s="1"/>
  <c r="AS68" i="2"/>
  <c r="AQ68" i="2"/>
  <c r="AQ74" i="2" s="1"/>
  <c r="AP68" i="2"/>
  <c r="AO68" i="2"/>
  <c r="AO74" i="2" s="1"/>
  <c r="AN68" i="2"/>
  <c r="AL68" i="2"/>
  <c r="AL74" i="2" s="1"/>
  <c r="AK68" i="2"/>
  <c r="AJ68" i="2"/>
  <c r="AJ74" i="2" s="1"/>
  <c r="AI68" i="2"/>
  <c r="AG68" i="2"/>
  <c r="AG74" i="2" s="1"/>
  <c r="AF68" i="2"/>
  <c r="AE68" i="2"/>
  <c r="AE74" i="2" s="1"/>
  <c r="AD68" i="2"/>
  <c r="AB68" i="2"/>
  <c r="AB74" i="2" s="1"/>
  <c r="AA68" i="2"/>
  <c r="Z68" i="2"/>
  <c r="Z74" i="2" s="1"/>
  <c r="Y68" i="2"/>
  <c r="W68" i="2"/>
  <c r="W74" i="2" s="1"/>
  <c r="V68" i="2"/>
  <c r="U68" i="2"/>
  <c r="U74" i="2" s="1"/>
  <c r="T68" i="2"/>
  <c r="P68" i="2"/>
  <c r="P74" i="2" s="1"/>
  <c r="O68" i="2"/>
  <c r="W87" i="2" l="1"/>
  <c r="AB87" i="2"/>
  <c r="AG87" i="2"/>
  <c r="AL87" i="2"/>
  <c r="AQ87" i="2"/>
  <c r="AV87" i="2"/>
  <c r="BA87" i="2"/>
  <c r="BF87" i="2"/>
  <c r="BK87" i="2"/>
  <c r="P87" i="2"/>
  <c r="U87" i="2"/>
  <c r="Z87" i="2"/>
  <c r="AE87" i="2"/>
  <c r="AJ87" i="2"/>
  <c r="AO87" i="2"/>
  <c r="AT87" i="2"/>
  <c r="AY87" i="2"/>
  <c r="BD87" i="2"/>
  <c r="BI87" i="2"/>
  <c r="U831" i="6"/>
  <c r="AA829" i="6"/>
  <c r="AA830" i="6" s="1"/>
  <c r="AA831" i="6" s="1"/>
  <c r="Y829" i="6"/>
  <c r="Y830" i="6" s="1"/>
  <c r="Y831" i="6" s="1"/>
  <c r="U755" i="6"/>
  <c r="AA753" i="6"/>
  <c r="AA754" i="6" s="1"/>
  <c r="AA755" i="6" s="1"/>
  <c r="Y753" i="6"/>
  <c r="Y754" i="6" s="1"/>
  <c r="Y755" i="6" s="1"/>
  <c r="U679" i="6"/>
  <c r="AA677" i="6"/>
  <c r="AA678" i="6" s="1"/>
  <c r="AA679" i="6" s="1"/>
  <c r="Y677" i="6"/>
  <c r="Y678" i="6" s="1"/>
  <c r="Y679" i="6" s="1"/>
  <c r="C603" i="6"/>
  <c r="U603" i="6" s="1"/>
  <c r="AA601" i="6"/>
  <c r="AA602" i="6" s="1"/>
  <c r="AA603" i="6" s="1"/>
  <c r="Y601" i="6"/>
  <c r="Y602" i="6" s="1"/>
  <c r="Y603" i="6" s="1"/>
  <c r="U527" i="6"/>
  <c r="AA525" i="6"/>
  <c r="AA526" i="6" s="1"/>
  <c r="AA527" i="6" s="1"/>
  <c r="Y525" i="6"/>
  <c r="Y526" i="6" s="1"/>
  <c r="Y527" i="6" s="1"/>
  <c r="U451" i="6"/>
  <c r="AA449" i="6"/>
  <c r="AA450" i="6" s="1"/>
  <c r="AA451" i="6" s="1"/>
  <c r="Y449" i="6"/>
  <c r="Y450" i="6" s="1"/>
  <c r="Y451" i="6" s="1"/>
  <c r="U375" i="6"/>
  <c r="AA373" i="6"/>
  <c r="AA374" i="6" s="1"/>
  <c r="AA375" i="6" s="1"/>
  <c r="Y373" i="6"/>
  <c r="Y374" i="6" s="1"/>
  <c r="Y375" i="6" s="1"/>
  <c r="U299" i="6"/>
  <c r="AA297" i="6"/>
  <c r="AA298" i="6" s="1"/>
  <c r="AA299" i="6" s="1"/>
  <c r="Y297" i="6"/>
  <c r="Y298" i="6" s="1"/>
  <c r="Y299" i="6" s="1"/>
  <c r="U223" i="6"/>
  <c r="AA221" i="6"/>
  <c r="AA222" i="6" s="1"/>
  <c r="AA223" i="6" s="1"/>
  <c r="Y221" i="6"/>
  <c r="Y222" i="6" s="1"/>
  <c r="Y223" i="6" s="1"/>
  <c r="U147" i="6"/>
  <c r="AA145" i="6"/>
  <c r="AA146" i="6" s="1"/>
  <c r="AA147" i="6" s="1"/>
  <c r="Y145" i="6"/>
  <c r="Y146" i="6" s="1"/>
  <c r="Y147" i="6" s="1"/>
  <c r="AA819" i="6"/>
  <c r="Y819" i="6"/>
  <c r="AA743" i="6"/>
  <c r="Y743" i="6"/>
  <c r="AA667" i="6"/>
  <c r="Y667" i="6"/>
  <c r="AA591" i="6"/>
  <c r="Y591" i="6"/>
  <c r="AA515" i="6"/>
  <c r="Y515" i="6"/>
  <c r="AA439" i="6"/>
  <c r="Y439" i="6"/>
  <c r="AA363" i="6"/>
  <c r="Y363" i="6"/>
  <c r="AA287" i="6"/>
  <c r="Y287" i="6"/>
  <c r="AA211" i="6"/>
  <c r="Y211" i="6"/>
  <c r="AA135" i="6"/>
  <c r="Y135" i="6"/>
  <c r="AA69" i="6"/>
  <c r="Y69" i="6"/>
  <c r="AA59" i="6"/>
  <c r="Y59" i="6"/>
  <c r="AA824" i="6" l="1"/>
  <c r="AA827" i="6" s="1"/>
  <c r="AA827" i="8" s="1"/>
  <c r="AA520" i="6"/>
  <c r="AA523" i="6" s="1"/>
  <c r="AA523" i="8" s="1"/>
  <c r="AA444" i="6"/>
  <c r="AA447" i="6" s="1"/>
  <c r="AA447" i="8" s="1"/>
  <c r="AA216" i="6"/>
  <c r="AA219" i="6" s="1"/>
  <c r="AA219" i="8" s="1"/>
  <c r="AA672" i="6"/>
  <c r="AA675" i="6" s="1"/>
  <c r="AA675" i="8" s="1"/>
  <c r="AA596" i="6"/>
  <c r="AA599" i="6" s="1"/>
  <c r="AA599" i="8" s="1"/>
  <c r="AA368" i="6"/>
  <c r="AA371" i="6" s="1"/>
  <c r="AA292" i="6"/>
  <c r="AA295" i="6" s="1"/>
  <c r="AA295" i="8" s="1"/>
  <c r="AA748" i="6"/>
  <c r="AA751" i="6" s="1"/>
  <c r="AA751" i="8" s="1"/>
  <c r="L223" i="6"/>
  <c r="L451" i="6"/>
  <c r="L527" i="6"/>
  <c r="L755" i="6"/>
  <c r="L831" i="6"/>
  <c r="L679" i="6"/>
  <c r="L603" i="6"/>
  <c r="L375" i="6"/>
  <c r="L299" i="6"/>
  <c r="L147" i="6"/>
  <c r="E68" i="2" l="1"/>
  <c r="E74" i="2" s="1"/>
  <c r="E60" i="1" l="1"/>
  <c r="BJ83" i="2" l="1"/>
  <c r="BK83" i="2"/>
  <c r="BE83" i="2"/>
  <c r="BF83" i="2"/>
  <c r="AZ83" i="2"/>
  <c r="BA83" i="2"/>
  <c r="AU83" i="2"/>
  <c r="AV83" i="2"/>
  <c r="AF83" i="2"/>
  <c r="AG83" i="2"/>
  <c r="AB83" i="2"/>
  <c r="V83" i="2"/>
  <c r="W83" i="2"/>
  <c r="P83" i="2"/>
  <c r="Q83" i="2"/>
  <c r="R83" i="2"/>
  <c r="O83" i="2"/>
  <c r="F83" i="2"/>
  <c r="E83" i="2"/>
  <c r="BK82" i="2"/>
  <c r="BF82" i="2"/>
  <c r="BA82" i="2"/>
  <c r="AV82" i="2"/>
  <c r="AQ82" i="2"/>
  <c r="AL82" i="2"/>
  <c r="AG82" i="2"/>
  <c r="AB82" i="2"/>
  <c r="W82" i="2"/>
  <c r="R82" i="2"/>
  <c r="J82" i="2"/>
  <c r="BJ82" i="2"/>
  <c r="BE82" i="2"/>
  <c r="AZ82" i="2"/>
  <c r="AU82" i="2"/>
  <c r="AP82" i="2"/>
  <c r="AK82" i="2"/>
  <c r="AF82" i="2"/>
  <c r="AA82" i="2"/>
  <c r="V82" i="2"/>
  <c r="Q82" i="2"/>
  <c r="I82" i="2"/>
  <c r="H75" i="1" l="1"/>
  <c r="G75" i="1"/>
  <c r="F36" i="2" l="1"/>
  <c r="C831" i="8"/>
  <c r="C755" i="8"/>
  <c r="C679" i="8"/>
  <c r="C603" i="8"/>
  <c r="C527" i="8"/>
  <c r="C451" i="8"/>
  <c r="C375" i="8"/>
  <c r="C299" i="8"/>
  <c r="C223" i="8"/>
  <c r="C147" i="8"/>
  <c r="F8" i="9" l="1"/>
  <c r="E8" i="9"/>
  <c r="E11" i="9" s="1"/>
  <c r="E12" i="9" s="1"/>
  <c r="F7" i="9"/>
  <c r="F9" i="9" s="1"/>
  <c r="E7" i="9"/>
  <c r="E9" i="9" s="1"/>
  <c r="E10" i="9" l="1"/>
  <c r="F10" i="9"/>
  <c r="F11" i="9"/>
  <c r="F12" i="9" s="1"/>
  <c r="BI52" i="2" l="1"/>
  <c r="BI53" i="2"/>
  <c r="BI54" i="2"/>
  <c r="BI55" i="2"/>
  <c r="BI56" i="2"/>
  <c r="BI51" i="2"/>
  <c r="BI39" i="2"/>
  <c r="BI34" i="2"/>
  <c r="BI24" i="2"/>
  <c r="BD52" i="2"/>
  <c r="BD53" i="2"/>
  <c r="BD54" i="2"/>
  <c r="BD55" i="2"/>
  <c r="BD56" i="2"/>
  <c r="BD51" i="2"/>
  <c r="BD39" i="2"/>
  <c r="BD34" i="2"/>
  <c r="BD24" i="2"/>
  <c r="AY52" i="2"/>
  <c r="AY53" i="2"/>
  <c r="AY54" i="2"/>
  <c r="AY55" i="2"/>
  <c r="AY56" i="2"/>
  <c r="AY51" i="2"/>
  <c r="AY92" i="2" s="1"/>
  <c r="AY39" i="2"/>
  <c r="AY34" i="2"/>
  <c r="AY24" i="2"/>
  <c r="AT24" i="2"/>
  <c r="AT34" i="2"/>
  <c r="AT39" i="2"/>
  <c r="AT52" i="2"/>
  <c r="AT53" i="2"/>
  <c r="AT54" i="2"/>
  <c r="AT55" i="2"/>
  <c r="AT56" i="2"/>
  <c r="AT51" i="2"/>
  <c r="AO52" i="2"/>
  <c r="AO53" i="2"/>
  <c r="AO54" i="2"/>
  <c r="AO55" i="2"/>
  <c r="AO56" i="2"/>
  <c r="AO51" i="2"/>
  <c r="AO39" i="2"/>
  <c r="AO34" i="2"/>
  <c r="AO24" i="2"/>
  <c r="AJ52" i="2"/>
  <c r="AJ53" i="2"/>
  <c r="AJ54" i="2"/>
  <c r="AJ55" i="2"/>
  <c r="AJ56" i="2"/>
  <c r="AJ51" i="2"/>
  <c r="AJ39" i="2"/>
  <c r="AJ34" i="2"/>
  <c r="AJ24" i="2"/>
  <c r="AE52" i="2"/>
  <c r="AE53" i="2"/>
  <c r="AE54" i="2"/>
  <c r="AE55" i="2"/>
  <c r="AE56" i="2"/>
  <c r="AE51" i="2"/>
  <c r="AE39" i="2"/>
  <c r="AE34" i="2"/>
  <c r="AE24" i="2"/>
  <c r="Z52" i="2"/>
  <c r="Z53" i="2"/>
  <c r="Z54" i="2"/>
  <c r="Z55" i="2"/>
  <c r="Z56" i="2"/>
  <c r="Z51" i="2"/>
  <c r="Z92" i="2" s="1"/>
  <c r="Z39" i="2"/>
  <c r="Z34" i="2"/>
  <c r="Z24" i="2"/>
  <c r="U39" i="2"/>
  <c r="U34" i="2"/>
  <c r="U24" i="2"/>
  <c r="U52" i="2"/>
  <c r="U53" i="2"/>
  <c r="U54" i="2"/>
  <c r="U55" i="2"/>
  <c r="U56" i="2"/>
  <c r="U51" i="2"/>
  <c r="BD92" i="2" l="1"/>
  <c r="BI92" i="2"/>
  <c r="AE92" i="2"/>
  <c r="AT92" i="2"/>
  <c r="AJ92" i="2"/>
  <c r="AO92" i="2"/>
  <c r="U92" i="2"/>
  <c r="P24" i="2" l="1"/>
  <c r="T23" i="2"/>
  <c r="P51" i="2" l="1"/>
  <c r="E31" i="2" l="1"/>
  <c r="AS56" i="2" l="1"/>
  <c r="AS55" i="2"/>
  <c r="AX56" i="2"/>
  <c r="AX55" i="2"/>
  <c r="BC56" i="2"/>
  <c r="BC55" i="2"/>
  <c r="BH56" i="2"/>
  <c r="BH55" i="2"/>
  <c r="BH50" i="2"/>
  <c r="BH49" i="2"/>
  <c r="BH34" i="2"/>
  <c r="BH24" i="2"/>
  <c r="BH23" i="2"/>
  <c r="BC50" i="2"/>
  <c r="BC49" i="2"/>
  <c r="BC92" i="2" s="1"/>
  <c r="BC34" i="2"/>
  <c r="BC24" i="2"/>
  <c r="BC23" i="2"/>
  <c r="AX50" i="2"/>
  <c r="AX49" i="2"/>
  <c r="AX92" i="2" s="1"/>
  <c r="AX34" i="2"/>
  <c r="AX24" i="2"/>
  <c r="AX23" i="2"/>
  <c r="AS50" i="2"/>
  <c r="AS49" i="2"/>
  <c r="AS92" i="2" s="1"/>
  <c r="AS34" i="2"/>
  <c r="AS24" i="2"/>
  <c r="AS23" i="2"/>
  <c r="AN56" i="2"/>
  <c r="AN55" i="2"/>
  <c r="AN50" i="2"/>
  <c r="AN49" i="2"/>
  <c r="AN92" i="2" s="1"/>
  <c r="AN34" i="2"/>
  <c r="AN24" i="2"/>
  <c r="AN23" i="2"/>
  <c r="AI56" i="2"/>
  <c r="AI55" i="2"/>
  <c r="AI50" i="2"/>
  <c r="AI49" i="2"/>
  <c r="AI92" i="2" s="1"/>
  <c r="AI34" i="2"/>
  <c r="AI24" i="2"/>
  <c r="AI23" i="2"/>
  <c r="AD56" i="2"/>
  <c r="AD55" i="2"/>
  <c r="AD50" i="2"/>
  <c r="AD49" i="2"/>
  <c r="AD92" i="2" s="1"/>
  <c r="AD34" i="2"/>
  <c r="AD24" i="2"/>
  <c r="AD23" i="2"/>
  <c r="Y56" i="2"/>
  <c r="Y55" i="2"/>
  <c r="Y50" i="2"/>
  <c r="Y49" i="2"/>
  <c r="Y92" i="2" s="1"/>
  <c r="Y34" i="2"/>
  <c r="Y24" i="2"/>
  <c r="Y23" i="2"/>
  <c r="BH92" i="2" l="1"/>
  <c r="E22" i="6"/>
  <c r="T55" i="2"/>
  <c r="T56" i="2"/>
  <c r="T50" i="2"/>
  <c r="T49" i="2"/>
  <c r="T92" i="2" s="1"/>
  <c r="T34" i="2"/>
  <c r="T24" i="2"/>
  <c r="O56" i="2"/>
  <c r="O55" i="2"/>
  <c r="O50" i="2"/>
  <c r="O49" i="2"/>
  <c r="O92" i="2" s="1"/>
  <c r="P52" i="2"/>
  <c r="P53" i="2"/>
  <c r="P54" i="2"/>
  <c r="P55" i="2"/>
  <c r="P56" i="2"/>
  <c r="P39" i="2"/>
  <c r="O34" i="2"/>
  <c r="P34" i="2"/>
  <c r="O24" i="2"/>
  <c r="O23" i="2"/>
  <c r="P92" i="2" l="1"/>
  <c r="E34" i="2"/>
  <c r="E23" i="2"/>
  <c r="E24" i="2"/>
  <c r="E102" i="2" l="1"/>
  <c r="G62" i="6" s="1"/>
  <c r="AG40" i="6" l="1"/>
  <c r="G60" i="6" l="1"/>
  <c r="G62" i="8"/>
  <c r="G60" i="8" s="1"/>
  <c r="P102" i="2"/>
  <c r="AH116" i="6" s="1"/>
  <c r="O102" i="2"/>
  <c r="AG116" i="6" s="1"/>
  <c r="F102" i="2"/>
  <c r="H62" i="6" s="1"/>
  <c r="F11" i="2"/>
  <c r="I11" i="2" s="1"/>
  <c r="L11" i="2" s="1"/>
  <c r="O11" i="2" s="1"/>
  <c r="R11" i="2" s="1"/>
  <c r="U11" i="2" s="1"/>
  <c r="X11" i="2" s="1"/>
  <c r="AA11" i="2" s="1"/>
  <c r="AD11" i="2" s="1"/>
  <c r="AG11" i="2" s="1"/>
  <c r="E13" i="2"/>
  <c r="F13" i="2" s="1"/>
  <c r="G13" i="2"/>
  <c r="H13" i="2"/>
  <c r="J13" i="2"/>
  <c r="K13" i="2"/>
  <c r="M13" i="2"/>
  <c r="N13" i="2"/>
  <c r="P13" i="2"/>
  <c r="Q13" i="2"/>
  <c r="S13" i="2"/>
  <c r="T13" i="2"/>
  <c r="V13" i="2"/>
  <c r="W13" i="2"/>
  <c r="Y13" i="2"/>
  <c r="Z13" i="2"/>
  <c r="AB13" i="2"/>
  <c r="AC13" i="2"/>
  <c r="AE13" i="2"/>
  <c r="AF13" i="2"/>
  <c r="B36" i="5"/>
  <c r="AH40" i="6" l="1"/>
  <c r="I13" i="2"/>
  <c r="L13" i="2" s="1"/>
  <c r="O13" i="2" s="1"/>
  <c r="R13" i="2" s="1"/>
  <c r="U13" i="2" s="1"/>
  <c r="X13" i="2" s="1"/>
  <c r="AA13" i="2" s="1"/>
  <c r="AD13" i="2" s="1"/>
  <c r="AG13" i="2" s="1"/>
  <c r="K85" i="1"/>
  <c r="J85" i="1"/>
  <c r="H60" i="6" l="1"/>
  <c r="H62" i="8"/>
  <c r="H60" i="8" s="1"/>
  <c r="AB836" i="8"/>
  <c r="AA836" i="8"/>
  <c r="Z836" i="8"/>
  <c r="Y836" i="8"/>
  <c r="W836" i="8"/>
  <c r="W834" i="8"/>
  <c r="L831" i="8"/>
  <c r="AB826" i="8"/>
  <c r="AA826" i="8"/>
  <c r="Z826" i="8"/>
  <c r="Y826" i="8"/>
  <c r="Q826" i="8"/>
  <c r="P826" i="8"/>
  <c r="H826" i="8"/>
  <c r="G826" i="8"/>
  <c r="AA824" i="8"/>
  <c r="Z813" i="8"/>
  <c r="W813" i="8"/>
  <c r="P813" i="8"/>
  <c r="N813" i="8"/>
  <c r="G813" i="8"/>
  <c r="E813" i="8"/>
  <c r="Z812" i="8"/>
  <c r="W812" i="8"/>
  <c r="P812" i="8"/>
  <c r="N812" i="8"/>
  <c r="G812" i="8"/>
  <c r="E812" i="8"/>
  <c r="Z811" i="8"/>
  <c r="Y811" i="8"/>
  <c r="X811" i="8"/>
  <c r="W811" i="8"/>
  <c r="P811" i="8"/>
  <c r="O811" i="8"/>
  <c r="N811" i="8"/>
  <c r="G811" i="8"/>
  <c r="F811" i="8"/>
  <c r="E811" i="8"/>
  <c r="Z810" i="8"/>
  <c r="Y810" i="8"/>
  <c r="X810" i="8"/>
  <c r="W810" i="8"/>
  <c r="P810" i="8"/>
  <c r="O810" i="8"/>
  <c r="N810" i="8"/>
  <c r="G810" i="8"/>
  <c r="F810" i="8"/>
  <c r="E810" i="8"/>
  <c r="Z809" i="8"/>
  <c r="Y809" i="8"/>
  <c r="X809" i="8"/>
  <c r="W809" i="8"/>
  <c r="P809" i="8"/>
  <c r="O809" i="8"/>
  <c r="N809" i="8"/>
  <c r="G809" i="8"/>
  <c r="F809" i="8"/>
  <c r="E809" i="8"/>
  <c r="Z808" i="8"/>
  <c r="Y808" i="8"/>
  <c r="X808" i="8"/>
  <c r="W808" i="8"/>
  <c r="P808" i="8"/>
  <c r="O808" i="8"/>
  <c r="N808" i="8"/>
  <c r="G808" i="8"/>
  <c r="F808" i="8"/>
  <c r="E808" i="8"/>
  <c r="AB807" i="8"/>
  <c r="AA807" i="8"/>
  <c r="Z807" i="8"/>
  <c r="W807" i="8"/>
  <c r="Q807" i="8"/>
  <c r="P807" i="8"/>
  <c r="N807" i="8"/>
  <c r="H807" i="8"/>
  <c r="G807" i="8"/>
  <c r="E807" i="8"/>
  <c r="AB806" i="8"/>
  <c r="AA806" i="8"/>
  <c r="Z806" i="8"/>
  <c r="W806" i="8"/>
  <c r="Q806" i="8"/>
  <c r="P806" i="8"/>
  <c r="N806" i="8"/>
  <c r="H806" i="8"/>
  <c r="G806" i="8"/>
  <c r="E806" i="8"/>
  <c r="Z805" i="8"/>
  <c r="W805" i="8"/>
  <c r="P805" i="8"/>
  <c r="N805" i="8"/>
  <c r="G805" i="8"/>
  <c r="E805" i="8"/>
  <c r="Z804" i="8"/>
  <c r="W804" i="8"/>
  <c r="P804" i="8"/>
  <c r="N804" i="8"/>
  <c r="G804" i="8"/>
  <c r="E804" i="8"/>
  <c r="Z803" i="8"/>
  <c r="W803" i="8"/>
  <c r="P803" i="8"/>
  <c r="N803" i="8"/>
  <c r="G803" i="8"/>
  <c r="E803" i="8"/>
  <c r="Z800" i="8"/>
  <c r="W800" i="8"/>
  <c r="P800" i="8"/>
  <c r="N800" i="8"/>
  <c r="G800" i="8"/>
  <c r="E800" i="8"/>
  <c r="Z799" i="8"/>
  <c r="W799" i="8"/>
  <c r="P799" i="8"/>
  <c r="N799" i="8"/>
  <c r="G799" i="8"/>
  <c r="E799" i="8"/>
  <c r="Z798" i="8"/>
  <c r="W798" i="8"/>
  <c r="P798" i="8"/>
  <c r="N798" i="8"/>
  <c r="G798" i="8"/>
  <c r="E798" i="8"/>
  <c r="Z797" i="8"/>
  <c r="W797" i="8"/>
  <c r="P797" i="8"/>
  <c r="N797" i="8"/>
  <c r="G797" i="8"/>
  <c r="E797" i="8"/>
  <c r="Z796" i="8"/>
  <c r="W796" i="8"/>
  <c r="P796" i="8"/>
  <c r="N796" i="8"/>
  <c r="G796" i="8"/>
  <c r="E796" i="8"/>
  <c r="Z795" i="8"/>
  <c r="W795" i="8"/>
  <c r="P795" i="8"/>
  <c r="N795" i="8"/>
  <c r="G795" i="8"/>
  <c r="E795" i="8"/>
  <c r="Z794" i="8"/>
  <c r="Y794" i="8"/>
  <c r="X794" i="8"/>
  <c r="W794" i="8"/>
  <c r="P794" i="8"/>
  <c r="O794" i="8"/>
  <c r="N794" i="8"/>
  <c r="G794" i="8"/>
  <c r="F794" i="8"/>
  <c r="E794" i="8"/>
  <c r="Q792" i="8"/>
  <c r="P792" i="8"/>
  <c r="O792" i="8"/>
  <c r="N792" i="8"/>
  <c r="G792" i="8"/>
  <c r="E792" i="8"/>
  <c r="Z791" i="8"/>
  <c r="W791" i="8"/>
  <c r="P791" i="8"/>
  <c r="N791" i="8"/>
  <c r="G791" i="8"/>
  <c r="E791" i="8"/>
  <c r="P790" i="8"/>
  <c r="N790" i="8"/>
  <c r="G790" i="8"/>
  <c r="E790" i="8"/>
  <c r="Z789" i="8"/>
  <c r="W789" i="8"/>
  <c r="P789" i="8"/>
  <c r="N789" i="8"/>
  <c r="G789" i="8"/>
  <c r="E789" i="8"/>
  <c r="Z787" i="8"/>
  <c r="W787" i="8"/>
  <c r="P787" i="8"/>
  <c r="N787" i="8"/>
  <c r="G787" i="8"/>
  <c r="E787" i="8"/>
  <c r="Z786" i="8"/>
  <c r="W786" i="8"/>
  <c r="P786" i="8"/>
  <c r="N786" i="8"/>
  <c r="G786" i="8"/>
  <c r="E786" i="8"/>
  <c r="Z784" i="8"/>
  <c r="W784" i="8"/>
  <c r="P784" i="8"/>
  <c r="N784" i="8"/>
  <c r="G784" i="8"/>
  <c r="E784" i="8"/>
  <c r="Z783" i="8"/>
  <c r="W783" i="8"/>
  <c r="P783" i="8"/>
  <c r="N783" i="8"/>
  <c r="G783" i="8"/>
  <c r="E783" i="8"/>
  <c r="Z781" i="8"/>
  <c r="W781" i="8"/>
  <c r="P781" i="8"/>
  <c r="N781" i="8"/>
  <c r="G781" i="8"/>
  <c r="E781" i="8"/>
  <c r="Z780" i="8"/>
  <c r="W780" i="8"/>
  <c r="P780" i="8"/>
  <c r="N780" i="8"/>
  <c r="G780" i="8"/>
  <c r="E780" i="8"/>
  <c r="Z779" i="8"/>
  <c r="W779" i="8"/>
  <c r="P779" i="8"/>
  <c r="N779" i="8"/>
  <c r="G779" i="8"/>
  <c r="E779" i="8"/>
  <c r="AB778" i="8"/>
  <c r="AA778" i="8"/>
  <c r="Z778" i="8"/>
  <c r="W778" i="8"/>
  <c r="Q778" i="8"/>
  <c r="P778" i="8"/>
  <c r="N778" i="8"/>
  <c r="H778" i="8"/>
  <c r="G778" i="8"/>
  <c r="E778" i="8"/>
  <c r="AB760" i="8"/>
  <c r="AA760" i="8"/>
  <c r="Z760" i="8"/>
  <c r="Y760" i="8"/>
  <c r="W760" i="8"/>
  <c r="W758" i="8"/>
  <c r="L755" i="8"/>
  <c r="AB750" i="8"/>
  <c r="AA750" i="8"/>
  <c r="Z750" i="8"/>
  <c r="Y750" i="8"/>
  <c r="Q750" i="8"/>
  <c r="P750" i="8"/>
  <c r="H750" i="8"/>
  <c r="G750" i="8"/>
  <c r="AA748" i="8"/>
  <c r="Z737" i="8"/>
  <c r="W737" i="8"/>
  <c r="P737" i="8"/>
  <c r="N737" i="8"/>
  <c r="G737" i="8"/>
  <c r="E737" i="8"/>
  <c r="Z736" i="8"/>
  <c r="W736" i="8"/>
  <c r="P736" i="8"/>
  <c r="N736" i="8"/>
  <c r="G736" i="8"/>
  <c r="E736" i="8"/>
  <c r="Z735" i="8"/>
  <c r="Y735" i="8"/>
  <c r="X735" i="8"/>
  <c r="W735" i="8"/>
  <c r="P735" i="8"/>
  <c r="O735" i="8"/>
  <c r="N735" i="8"/>
  <c r="G735" i="8"/>
  <c r="F735" i="8"/>
  <c r="E735" i="8"/>
  <c r="Z734" i="8"/>
  <c r="Y734" i="8"/>
  <c r="X734" i="8"/>
  <c r="W734" i="8"/>
  <c r="P734" i="8"/>
  <c r="O734" i="8"/>
  <c r="N734" i="8"/>
  <c r="G734" i="8"/>
  <c r="F734" i="8"/>
  <c r="E734" i="8"/>
  <c r="Z733" i="8"/>
  <c r="Y733" i="8"/>
  <c r="X733" i="8"/>
  <c r="W733" i="8"/>
  <c r="P733" i="8"/>
  <c r="O733" i="8"/>
  <c r="N733" i="8"/>
  <c r="G733" i="8"/>
  <c r="F733" i="8"/>
  <c r="E733" i="8"/>
  <c r="Z732" i="8"/>
  <c r="Y732" i="8"/>
  <c r="X732" i="8"/>
  <c r="W732" i="8"/>
  <c r="P732" i="8"/>
  <c r="O732" i="8"/>
  <c r="N732" i="8"/>
  <c r="G732" i="8"/>
  <c r="F732" i="8"/>
  <c r="E732" i="8"/>
  <c r="AB731" i="8"/>
  <c r="AA731" i="8"/>
  <c r="Z731" i="8"/>
  <c r="W731" i="8"/>
  <c r="Q731" i="8"/>
  <c r="P731" i="8"/>
  <c r="N731" i="8"/>
  <c r="H731" i="8"/>
  <c r="G731" i="8"/>
  <c r="E731" i="8"/>
  <c r="AB730" i="8"/>
  <c r="AA730" i="8"/>
  <c r="Z730" i="8"/>
  <c r="W730" i="8"/>
  <c r="Q730" i="8"/>
  <c r="P730" i="8"/>
  <c r="N730" i="8"/>
  <c r="H730" i="8"/>
  <c r="G730" i="8"/>
  <c r="E730" i="8"/>
  <c r="Z729" i="8"/>
  <c r="W729" i="8"/>
  <c r="P729" i="8"/>
  <c r="N729" i="8"/>
  <c r="G729" i="8"/>
  <c r="E729" i="8"/>
  <c r="Z728" i="8"/>
  <c r="W728" i="8"/>
  <c r="P728" i="8"/>
  <c r="N728" i="8"/>
  <c r="G728" i="8"/>
  <c r="E728" i="8"/>
  <c r="Z727" i="8"/>
  <c r="W727" i="8"/>
  <c r="P727" i="8"/>
  <c r="N727" i="8"/>
  <c r="G727" i="8"/>
  <c r="E727" i="8"/>
  <c r="Z724" i="8"/>
  <c r="W724" i="8"/>
  <c r="P724" i="8"/>
  <c r="N724" i="8"/>
  <c r="G724" i="8"/>
  <c r="E724" i="8"/>
  <c r="Z723" i="8"/>
  <c r="W723" i="8"/>
  <c r="P723" i="8"/>
  <c r="N723" i="8"/>
  <c r="G723" i="8"/>
  <c r="E723" i="8"/>
  <c r="Z722" i="8"/>
  <c r="W722" i="8"/>
  <c r="P722" i="8"/>
  <c r="N722" i="8"/>
  <c r="G722" i="8"/>
  <c r="E722" i="8"/>
  <c r="Z721" i="8"/>
  <c r="W721" i="8"/>
  <c r="P721" i="8"/>
  <c r="N721" i="8"/>
  <c r="G721" i="8"/>
  <c r="E721" i="8"/>
  <c r="Z720" i="8"/>
  <c r="W720" i="8"/>
  <c r="P720" i="8"/>
  <c r="N720" i="8"/>
  <c r="G720" i="8"/>
  <c r="E720" i="8"/>
  <c r="Z719" i="8"/>
  <c r="W719" i="8"/>
  <c r="P719" i="8"/>
  <c r="N719" i="8"/>
  <c r="G719" i="8"/>
  <c r="E719" i="8"/>
  <c r="Z718" i="8"/>
  <c r="Y718" i="8"/>
  <c r="X718" i="8"/>
  <c r="W718" i="8"/>
  <c r="P718" i="8"/>
  <c r="O718" i="8"/>
  <c r="N718" i="8"/>
  <c r="G718" i="8"/>
  <c r="F718" i="8"/>
  <c r="E718" i="8"/>
  <c r="Q716" i="8"/>
  <c r="P716" i="8"/>
  <c r="O716" i="8"/>
  <c r="N716" i="8"/>
  <c r="G716" i="8"/>
  <c r="E716" i="8"/>
  <c r="Z715" i="8"/>
  <c r="W715" i="8"/>
  <c r="P715" i="8"/>
  <c r="N715" i="8"/>
  <c r="G715" i="8"/>
  <c r="E715" i="8"/>
  <c r="P714" i="8"/>
  <c r="N714" i="8"/>
  <c r="G714" i="8"/>
  <c r="E714" i="8"/>
  <c r="Z713" i="8"/>
  <c r="W713" i="8"/>
  <c r="P713" i="8"/>
  <c r="N713" i="8"/>
  <c r="G713" i="8"/>
  <c r="E713" i="8"/>
  <c r="Z711" i="8"/>
  <c r="W711" i="8"/>
  <c r="P711" i="8"/>
  <c r="N711" i="8"/>
  <c r="G711" i="8"/>
  <c r="E711" i="8"/>
  <c r="Z710" i="8"/>
  <c r="W710" i="8"/>
  <c r="P710" i="8"/>
  <c r="N710" i="8"/>
  <c r="G710" i="8"/>
  <c r="E710" i="8"/>
  <c r="Z708" i="8"/>
  <c r="W708" i="8"/>
  <c r="P708" i="8"/>
  <c r="N708" i="8"/>
  <c r="G708" i="8"/>
  <c r="E708" i="8"/>
  <c r="Z707" i="8"/>
  <c r="W707" i="8"/>
  <c r="P707" i="8"/>
  <c r="N707" i="8"/>
  <c r="G707" i="8"/>
  <c r="E707" i="8"/>
  <c r="Z705" i="8"/>
  <c r="W705" i="8"/>
  <c r="P705" i="8"/>
  <c r="N705" i="8"/>
  <c r="G705" i="8"/>
  <c r="E705" i="8"/>
  <c r="Z704" i="8"/>
  <c r="W704" i="8"/>
  <c r="P704" i="8"/>
  <c r="N704" i="8"/>
  <c r="G704" i="8"/>
  <c r="E704" i="8"/>
  <c r="Z703" i="8"/>
  <c r="W703" i="8"/>
  <c r="P703" i="8"/>
  <c r="N703" i="8"/>
  <c r="G703" i="8"/>
  <c r="E703" i="8"/>
  <c r="AB702" i="8"/>
  <c r="AA702" i="8"/>
  <c r="Z702" i="8"/>
  <c r="W702" i="8"/>
  <c r="Q702" i="8"/>
  <c r="P702" i="8"/>
  <c r="N702" i="8"/>
  <c r="H702" i="8"/>
  <c r="G702" i="8"/>
  <c r="E702" i="8"/>
  <c r="AB684" i="8"/>
  <c r="AA684" i="8"/>
  <c r="Z684" i="8"/>
  <c r="Y684" i="8"/>
  <c r="W684" i="8"/>
  <c r="W682" i="8"/>
  <c r="L679" i="8"/>
  <c r="AB674" i="8"/>
  <c r="AA674" i="8"/>
  <c r="Z674" i="8"/>
  <c r="Y674" i="8"/>
  <c r="Q674" i="8"/>
  <c r="P674" i="8"/>
  <c r="H674" i="8"/>
  <c r="G674" i="8"/>
  <c r="AA672" i="8"/>
  <c r="Z661" i="8"/>
  <c r="W661" i="8"/>
  <c r="P661" i="8"/>
  <c r="N661" i="8"/>
  <c r="G661" i="8"/>
  <c r="E661" i="8"/>
  <c r="Z660" i="8"/>
  <c r="W660" i="8"/>
  <c r="P660" i="8"/>
  <c r="N660" i="8"/>
  <c r="G660" i="8"/>
  <c r="E660" i="8"/>
  <c r="Z659" i="8"/>
  <c r="Y659" i="8"/>
  <c r="X659" i="8"/>
  <c r="W659" i="8"/>
  <c r="P659" i="8"/>
  <c r="O659" i="8"/>
  <c r="N659" i="8"/>
  <c r="G659" i="8"/>
  <c r="F659" i="8"/>
  <c r="E659" i="8"/>
  <c r="Z658" i="8"/>
  <c r="Y658" i="8"/>
  <c r="X658" i="8"/>
  <c r="W658" i="8"/>
  <c r="P658" i="8"/>
  <c r="O658" i="8"/>
  <c r="N658" i="8"/>
  <c r="G658" i="8"/>
  <c r="F658" i="8"/>
  <c r="E658" i="8"/>
  <c r="Z657" i="8"/>
  <c r="Y657" i="8"/>
  <c r="X657" i="8"/>
  <c r="W657" i="8"/>
  <c r="P657" i="8"/>
  <c r="O657" i="8"/>
  <c r="N657" i="8"/>
  <c r="G657" i="8"/>
  <c r="F657" i="8"/>
  <c r="E657" i="8"/>
  <c r="Z656" i="8"/>
  <c r="Y656" i="8"/>
  <c r="X656" i="8"/>
  <c r="W656" i="8"/>
  <c r="P656" i="8"/>
  <c r="O656" i="8"/>
  <c r="N656" i="8"/>
  <c r="G656" i="8"/>
  <c r="F656" i="8"/>
  <c r="E656" i="8"/>
  <c r="AB655" i="8"/>
  <c r="AA655" i="8"/>
  <c r="Z655" i="8"/>
  <c r="W655" i="8"/>
  <c r="Q655" i="8"/>
  <c r="P655" i="8"/>
  <c r="N655" i="8"/>
  <c r="H655" i="8"/>
  <c r="G655" i="8"/>
  <c r="E655" i="8"/>
  <c r="AB654" i="8"/>
  <c r="AA654" i="8"/>
  <c r="Z654" i="8"/>
  <c r="W654" i="8"/>
  <c r="Q654" i="8"/>
  <c r="P654" i="8"/>
  <c r="N654" i="8"/>
  <c r="H654" i="8"/>
  <c r="G654" i="8"/>
  <c r="E654" i="8"/>
  <c r="Z653" i="8"/>
  <c r="W653" i="8"/>
  <c r="P653" i="8"/>
  <c r="N653" i="8"/>
  <c r="G653" i="8"/>
  <c r="E653" i="8"/>
  <c r="Z652" i="8"/>
  <c r="W652" i="8"/>
  <c r="P652" i="8"/>
  <c r="N652" i="8"/>
  <c r="G652" i="8"/>
  <c r="E652" i="8"/>
  <c r="Z651" i="8"/>
  <c r="W651" i="8"/>
  <c r="P651" i="8"/>
  <c r="N651" i="8"/>
  <c r="G651" i="8"/>
  <c r="E651" i="8"/>
  <c r="Z648" i="8"/>
  <c r="W648" i="8"/>
  <c r="P648" i="8"/>
  <c r="N648" i="8"/>
  <c r="G648" i="8"/>
  <c r="E648" i="8"/>
  <c r="Z647" i="8"/>
  <c r="W647" i="8"/>
  <c r="P647" i="8"/>
  <c r="N647" i="8"/>
  <c r="G647" i="8"/>
  <c r="E647" i="8"/>
  <c r="Z646" i="8"/>
  <c r="W646" i="8"/>
  <c r="P646" i="8"/>
  <c r="N646" i="8"/>
  <c r="G646" i="8"/>
  <c r="E646" i="8"/>
  <c r="Z645" i="8"/>
  <c r="W645" i="8"/>
  <c r="P645" i="8"/>
  <c r="N645" i="8"/>
  <c r="G645" i="8"/>
  <c r="E645" i="8"/>
  <c r="Z644" i="8"/>
  <c r="W644" i="8"/>
  <c r="P644" i="8"/>
  <c r="N644" i="8"/>
  <c r="G644" i="8"/>
  <c r="E644" i="8"/>
  <c r="Z643" i="8"/>
  <c r="W643" i="8"/>
  <c r="P643" i="8"/>
  <c r="N643" i="8"/>
  <c r="G643" i="8"/>
  <c r="E643" i="8"/>
  <c r="Z642" i="8"/>
  <c r="Y642" i="8"/>
  <c r="X642" i="8"/>
  <c r="W642" i="8"/>
  <c r="P642" i="8"/>
  <c r="O642" i="8"/>
  <c r="N642" i="8"/>
  <c r="G642" i="8"/>
  <c r="F642" i="8"/>
  <c r="E642" i="8"/>
  <c r="Q640" i="8"/>
  <c r="P640" i="8"/>
  <c r="O640" i="8"/>
  <c r="N640" i="8"/>
  <c r="G640" i="8"/>
  <c r="E640" i="8"/>
  <c r="Z639" i="8"/>
  <c r="W639" i="8"/>
  <c r="P639" i="8"/>
  <c r="N639" i="8"/>
  <c r="G639" i="8"/>
  <c r="E639" i="8"/>
  <c r="P638" i="8"/>
  <c r="N638" i="8"/>
  <c r="G638" i="8"/>
  <c r="E638" i="8"/>
  <c r="Z637" i="8"/>
  <c r="W637" i="8"/>
  <c r="P637" i="8"/>
  <c r="N637" i="8"/>
  <c r="G637" i="8"/>
  <c r="E637" i="8"/>
  <c r="Z635" i="8"/>
  <c r="W635" i="8"/>
  <c r="P635" i="8"/>
  <c r="N635" i="8"/>
  <c r="G635" i="8"/>
  <c r="E635" i="8"/>
  <c r="Z634" i="8"/>
  <c r="W634" i="8"/>
  <c r="P634" i="8"/>
  <c r="N634" i="8"/>
  <c r="G634" i="8"/>
  <c r="E634" i="8"/>
  <c r="Z632" i="8"/>
  <c r="W632" i="8"/>
  <c r="P632" i="8"/>
  <c r="N632" i="8"/>
  <c r="G632" i="8"/>
  <c r="E632" i="8"/>
  <c r="Z631" i="8"/>
  <c r="W631" i="8"/>
  <c r="P631" i="8"/>
  <c r="N631" i="8"/>
  <c r="G631" i="8"/>
  <c r="E631" i="8"/>
  <c r="Z629" i="8"/>
  <c r="W629" i="8"/>
  <c r="P629" i="8"/>
  <c r="N629" i="8"/>
  <c r="G629" i="8"/>
  <c r="E629" i="8"/>
  <c r="Z628" i="8"/>
  <c r="W628" i="8"/>
  <c r="P628" i="8"/>
  <c r="N628" i="8"/>
  <c r="G628" i="8"/>
  <c r="E628" i="8"/>
  <c r="Z627" i="8"/>
  <c r="W627" i="8"/>
  <c r="P627" i="8"/>
  <c r="N627" i="8"/>
  <c r="G627" i="8"/>
  <c r="E627" i="8"/>
  <c r="AB626" i="8"/>
  <c r="AA626" i="8"/>
  <c r="Z626" i="8"/>
  <c r="W626" i="8"/>
  <c r="Q626" i="8"/>
  <c r="P626" i="8"/>
  <c r="N626" i="8"/>
  <c r="H626" i="8"/>
  <c r="G626" i="8"/>
  <c r="E626" i="8"/>
  <c r="AB608" i="8"/>
  <c r="AA608" i="8"/>
  <c r="Z608" i="8"/>
  <c r="Y608" i="8"/>
  <c r="W608" i="8"/>
  <c r="W606" i="8"/>
  <c r="L603" i="8"/>
  <c r="AB598" i="8"/>
  <c r="AA598" i="8"/>
  <c r="Z598" i="8"/>
  <c r="Y598" i="8"/>
  <c r="Q598" i="8"/>
  <c r="P598" i="8"/>
  <c r="H598" i="8"/>
  <c r="G598" i="8"/>
  <c r="AA596" i="8"/>
  <c r="Z585" i="8"/>
  <c r="W585" i="8"/>
  <c r="P585" i="8"/>
  <c r="N585" i="8"/>
  <c r="G585" i="8"/>
  <c r="E585" i="8"/>
  <c r="Z584" i="8"/>
  <c r="W584" i="8"/>
  <c r="P584" i="8"/>
  <c r="N584" i="8"/>
  <c r="G584" i="8"/>
  <c r="E584" i="8"/>
  <c r="Z583" i="8"/>
  <c r="Y583" i="8"/>
  <c r="X583" i="8"/>
  <c r="W583" i="8"/>
  <c r="P583" i="8"/>
  <c r="O583" i="8"/>
  <c r="N583" i="8"/>
  <c r="G583" i="8"/>
  <c r="F583" i="8"/>
  <c r="E583" i="8"/>
  <c r="Z582" i="8"/>
  <c r="Y582" i="8"/>
  <c r="X582" i="8"/>
  <c r="W582" i="8"/>
  <c r="P582" i="8"/>
  <c r="O582" i="8"/>
  <c r="N582" i="8"/>
  <c r="G582" i="8"/>
  <c r="F582" i="8"/>
  <c r="E582" i="8"/>
  <c r="Z581" i="8"/>
  <c r="Y581" i="8"/>
  <c r="X581" i="8"/>
  <c r="W581" i="8"/>
  <c r="P581" i="8"/>
  <c r="O581" i="8"/>
  <c r="N581" i="8"/>
  <c r="G581" i="8"/>
  <c r="F581" i="8"/>
  <c r="E581" i="8"/>
  <c r="Z580" i="8"/>
  <c r="Y580" i="8"/>
  <c r="X580" i="8"/>
  <c r="W580" i="8"/>
  <c r="P580" i="8"/>
  <c r="O580" i="8"/>
  <c r="N580" i="8"/>
  <c r="G580" i="8"/>
  <c r="F580" i="8"/>
  <c r="E580" i="8"/>
  <c r="AB579" i="8"/>
  <c r="AA579" i="8"/>
  <c r="Z579" i="8"/>
  <c r="W579" i="8"/>
  <c r="Q579" i="8"/>
  <c r="P579" i="8"/>
  <c r="N579" i="8"/>
  <c r="H579" i="8"/>
  <c r="G579" i="8"/>
  <c r="E579" i="8"/>
  <c r="AB578" i="8"/>
  <c r="AA578" i="8"/>
  <c r="Z578" i="8"/>
  <c r="W578" i="8"/>
  <c r="Q578" i="8"/>
  <c r="P578" i="8"/>
  <c r="N578" i="8"/>
  <c r="H578" i="8"/>
  <c r="G578" i="8"/>
  <c r="E578" i="8"/>
  <c r="Z577" i="8"/>
  <c r="W577" i="8"/>
  <c r="P577" i="8"/>
  <c r="N577" i="8"/>
  <c r="G577" i="8"/>
  <c r="E577" i="8"/>
  <c r="Z576" i="8"/>
  <c r="W576" i="8"/>
  <c r="P576" i="8"/>
  <c r="N576" i="8"/>
  <c r="G576" i="8"/>
  <c r="E576" i="8"/>
  <c r="Z575" i="8"/>
  <c r="W575" i="8"/>
  <c r="P575" i="8"/>
  <c r="N575" i="8"/>
  <c r="G575" i="8"/>
  <c r="E575" i="8"/>
  <c r="Z572" i="8"/>
  <c r="W572" i="8"/>
  <c r="P572" i="8"/>
  <c r="N572" i="8"/>
  <c r="G572" i="8"/>
  <c r="E572" i="8"/>
  <c r="Z571" i="8"/>
  <c r="W571" i="8"/>
  <c r="P571" i="8"/>
  <c r="N571" i="8"/>
  <c r="G571" i="8"/>
  <c r="E571" i="8"/>
  <c r="Z570" i="8"/>
  <c r="W570" i="8"/>
  <c r="P570" i="8"/>
  <c r="N570" i="8"/>
  <c r="G570" i="8"/>
  <c r="E570" i="8"/>
  <c r="Z569" i="8"/>
  <c r="W569" i="8"/>
  <c r="P569" i="8"/>
  <c r="N569" i="8"/>
  <c r="G569" i="8"/>
  <c r="E569" i="8"/>
  <c r="Z568" i="8"/>
  <c r="W568" i="8"/>
  <c r="P568" i="8"/>
  <c r="N568" i="8"/>
  <c r="G568" i="8"/>
  <c r="E568" i="8"/>
  <c r="Z567" i="8"/>
  <c r="W567" i="8"/>
  <c r="P567" i="8"/>
  <c r="N567" i="8"/>
  <c r="G567" i="8"/>
  <c r="E567" i="8"/>
  <c r="Z566" i="8"/>
  <c r="Y566" i="8"/>
  <c r="X566" i="8"/>
  <c r="W566" i="8"/>
  <c r="P566" i="8"/>
  <c r="O566" i="8"/>
  <c r="N566" i="8"/>
  <c r="G566" i="8"/>
  <c r="F566" i="8"/>
  <c r="E566" i="8"/>
  <c r="Q564" i="8"/>
  <c r="P564" i="8"/>
  <c r="O564" i="8"/>
  <c r="N564" i="8"/>
  <c r="G564" i="8"/>
  <c r="E564" i="8"/>
  <c r="Z563" i="8"/>
  <c r="W563" i="8"/>
  <c r="P563" i="8"/>
  <c r="N563" i="8"/>
  <c r="G563" i="8"/>
  <c r="E563" i="8"/>
  <c r="P562" i="8"/>
  <c r="N562" i="8"/>
  <c r="G562" i="8"/>
  <c r="E562" i="8"/>
  <c r="Z561" i="8"/>
  <c r="W561" i="8"/>
  <c r="P561" i="8"/>
  <c r="N561" i="8"/>
  <c r="G561" i="8"/>
  <c r="E561" i="8"/>
  <c r="Z559" i="8"/>
  <c r="W559" i="8"/>
  <c r="P559" i="8"/>
  <c r="N559" i="8"/>
  <c r="G559" i="8"/>
  <c r="E559" i="8"/>
  <c r="Z558" i="8"/>
  <c r="W558" i="8"/>
  <c r="P558" i="8"/>
  <c r="N558" i="8"/>
  <c r="G558" i="8"/>
  <c r="E558" i="8"/>
  <c r="Z556" i="8"/>
  <c r="W556" i="8"/>
  <c r="P556" i="8"/>
  <c r="N556" i="8"/>
  <c r="G556" i="8"/>
  <c r="E556" i="8"/>
  <c r="Z555" i="8"/>
  <c r="W555" i="8"/>
  <c r="P555" i="8"/>
  <c r="N555" i="8"/>
  <c r="G555" i="8"/>
  <c r="E555" i="8"/>
  <c r="Z553" i="8"/>
  <c r="W553" i="8"/>
  <c r="P553" i="8"/>
  <c r="N553" i="8"/>
  <c r="G553" i="8"/>
  <c r="E553" i="8"/>
  <c r="Z552" i="8"/>
  <c r="W552" i="8"/>
  <c r="P552" i="8"/>
  <c r="N552" i="8"/>
  <c r="G552" i="8"/>
  <c r="E552" i="8"/>
  <c r="Z551" i="8"/>
  <c r="W551" i="8"/>
  <c r="P551" i="8"/>
  <c r="N551" i="8"/>
  <c r="G551" i="8"/>
  <c r="E551" i="8"/>
  <c r="AB550" i="8"/>
  <c r="AA550" i="8"/>
  <c r="Z550" i="8"/>
  <c r="W550" i="8"/>
  <c r="Q550" i="8"/>
  <c r="P550" i="8"/>
  <c r="N550" i="8"/>
  <c r="H550" i="8"/>
  <c r="G550" i="8"/>
  <c r="E550" i="8"/>
  <c r="AB532" i="8"/>
  <c r="AA532" i="8"/>
  <c r="Z532" i="8"/>
  <c r="Y532" i="8"/>
  <c r="W532" i="8"/>
  <c r="W530" i="8"/>
  <c r="L527" i="8"/>
  <c r="AB522" i="8"/>
  <c r="AA522" i="8"/>
  <c r="Z522" i="8"/>
  <c r="Y522" i="8"/>
  <c r="Q522" i="8"/>
  <c r="P522" i="8"/>
  <c r="H522" i="8"/>
  <c r="G522" i="8"/>
  <c r="AA520" i="8"/>
  <c r="Z509" i="8"/>
  <c r="W509" i="8"/>
  <c r="P509" i="8"/>
  <c r="N509" i="8"/>
  <c r="G509" i="8"/>
  <c r="E509" i="8"/>
  <c r="Z508" i="8"/>
  <c r="W508" i="8"/>
  <c r="P508" i="8"/>
  <c r="N508" i="8"/>
  <c r="G508" i="8"/>
  <c r="E508" i="8"/>
  <c r="Z507" i="8"/>
  <c r="Y507" i="8"/>
  <c r="X507" i="8"/>
  <c r="W507" i="8"/>
  <c r="P507" i="8"/>
  <c r="O507" i="8"/>
  <c r="N507" i="8"/>
  <c r="G507" i="8"/>
  <c r="F507" i="8"/>
  <c r="E507" i="8"/>
  <c r="Z506" i="8"/>
  <c r="Y506" i="8"/>
  <c r="X506" i="8"/>
  <c r="W506" i="8"/>
  <c r="P506" i="8"/>
  <c r="O506" i="8"/>
  <c r="N506" i="8"/>
  <c r="G506" i="8"/>
  <c r="F506" i="8"/>
  <c r="E506" i="8"/>
  <c r="Z505" i="8"/>
  <c r="Y505" i="8"/>
  <c r="X505" i="8"/>
  <c r="W505" i="8"/>
  <c r="P505" i="8"/>
  <c r="O505" i="8"/>
  <c r="N505" i="8"/>
  <c r="G505" i="8"/>
  <c r="F505" i="8"/>
  <c r="E505" i="8"/>
  <c r="Z504" i="8"/>
  <c r="Y504" i="8"/>
  <c r="X504" i="8"/>
  <c r="W504" i="8"/>
  <c r="P504" i="8"/>
  <c r="O504" i="8"/>
  <c r="N504" i="8"/>
  <c r="G504" i="8"/>
  <c r="F504" i="8"/>
  <c r="E504" i="8"/>
  <c r="AB503" i="8"/>
  <c r="AA503" i="8"/>
  <c r="Z503" i="8"/>
  <c r="W503" i="8"/>
  <c r="Q503" i="8"/>
  <c r="P503" i="8"/>
  <c r="N503" i="8"/>
  <c r="H503" i="8"/>
  <c r="G503" i="8"/>
  <c r="E503" i="8"/>
  <c r="AB502" i="8"/>
  <c r="AA502" i="8"/>
  <c r="Z502" i="8"/>
  <c r="W502" i="8"/>
  <c r="Q502" i="8"/>
  <c r="P502" i="8"/>
  <c r="N502" i="8"/>
  <c r="H502" i="8"/>
  <c r="G502" i="8"/>
  <c r="E502" i="8"/>
  <c r="Z501" i="8"/>
  <c r="W501" i="8"/>
  <c r="P501" i="8"/>
  <c r="N501" i="8"/>
  <c r="G501" i="8"/>
  <c r="E501" i="8"/>
  <c r="Z500" i="8"/>
  <c r="W500" i="8"/>
  <c r="P500" i="8"/>
  <c r="N500" i="8"/>
  <c r="G500" i="8"/>
  <c r="E500" i="8"/>
  <c r="Z499" i="8"/>
  <c r="W499" i="8"/>
  <c r="P499" i="8"/>
  <c r="N499" i="8"/>
  <c r="G499" i="8"/>
  <c r="E499" i="8"/>
  <c r="Z496" i="8"/>
  <c r="W496" i="8"/>
  <c r="P496" i="8"/>
  <c r="N496" i="8"/>
  <c r="G496" i="8"/>
  <c r="E496" i="8"/>
  <c r="Z495" i="8"/>
  <c r="W495" i="8"/>
  <c r="P495" i="8"/>
  <c r="N495" i="8"/>
  <c r="G495" i="8"/>
  <c r="E495" i="8"/>
  <c r="Z494" i="8"/>
  <c r="W494" i="8"/>
  <c r="P494" i="8"/>
  <c r="N494" i="8"/>
  <c r="G494" i="8"/>
  <c r="E494" i="8"/>
  <c r="Z493" i="8"/>
  <c r="W493" i="8"/>
  <c r="P493" i="8"/>
  <c r="N493" i="8"/>
  <c r="G493" i="8"/>
  <c r="E493" i="8"/>
  <c r="Z492" i="8"/>
  <c r="W492" i="8"/>
  <c r="P492" i="8"/>
  <c r="N492" i="8"/>
  <c r="G492" i="8"/>
  <c r="E492" i="8"/>
  <c r="Z491" i="8"/>
  <c r="W491" i="8"/>
  <c r="P491" i="8"/>
  <c r="N491" i="8"/>
  <c r="G491" i="8"/>
  <c r="E491" i="8"/>
  <c r="Z490" i="8"/>
  <c r="Y490" i="8"/>
  <c r="X490" i="8"/>
  <c r="W490" i="8"/>
  <c r="P490" i="8"/>
  <c r="O490" i="8"/>
  <c r="N490" i="8"/>
  <c r="G490" i="8"/>
  <c r="F490" i="8"/>
  <c r="E490" i="8"/>
  <c r="Q488" i="8"/>
  <c r="P488" i="8"/>
  <c r="O488" i="8"/>
  <c r="N488" i="8"/>
  <c r="G488" i="8"/>
  <c r="E488" i="8"/>
  <c r="Z487" i="8"/>
  <c r="W487" i="8"/>
  <c r="P487" i="8"/>
  <c r="N487" i="8"/>
  <c r="G487" i="8"/>
  <c r="E487" i="8"/>
  <c r="P486" i="8"/>
  <c r="N486" i="8"/>
  <c r="G486" i="8"/>
  <c r="E486" i="8"/>
  <c r="Z485" i="8"/>
  <c r="W485" i="8"/>
  <c r="P485" i="8"/>
  <c r="N485" i="8"/>
  <c r="G485" i="8"/>
  <c r="E485" i="8"/>
  <c r="Z483" i="8"/>
  <c r="W483" i="8"/>
  <c r="P483" i="8"/>
  <c r="N483" i="8"/>
  <c r="G483" i="8"/>
  <c r="E483" i="8"/>
  <c r="Z482" i="8"/>
  <c r="W482" i="8"/>
  <c r="P482" i="8"/>
  <c r="N482" i="8"/>
  <c r="G482" i="8"/>
  <c r="E482" i="8"/>
  <c r="Z480" i="8"/>
  <c r="W480" i="8"/>
  <c r="P480" i="8"/>
  <c r="N480" i="8"/>
  <c r="G480" i="8"/>
  <c r="E480" i="8"/>
  <c r="Z479" i="8"/>
  <c r="W479" i="8"/>
  <c r="P479" i="8"/>
  <c r="N479" i="8"/>
  <c r="G479" i="8"/>
  <c r="E479" i="8"/>
  <c r="Z477" i="8"/>
  <c r="W477" i="8"/>
  <c r="P477" i="8"/>
  <c r="N477" i="8"/>
  <c r="G477" i="8"/>
  <c r="E477" i="8"/>
  <c r="Z476" i="8"/>
  <c r="W476" i="8"/>
  <c r="P476" i="8"/>
  <c r="N476" i="8"/>
  <c r="G476" i="8"/>
  <c r="E476" i="8"/>
  <c r="Z475" i="8"/>
  <c r="W475" i="8"/>
  <c r="P475" i="8"/>
  <c r="N475" i="8"/>
  <c r="G475" i="8"/>
  <c r="E475" i="8"/>
  <c r="AB474" i="8"/>
  <c r="AA474" i="8"/>
  <c r="Z474" i="8"/>
  <c r="W474" i="8"/>
  <c r="Q474" i="8"/>
  <c r="P474" i="8"/>
  <c r="N474" i="8"/>
  <c r="H474" i="8"/>
  <c r="G474" i="8"/>
  <c r="E474" i="8"/>
  <c r="AB456" i="8"/>
  <c r="AA456" i="8"/>
  <c r="Z456" i="8"/>
  <c r="Y456" i="8"/>
  <c r="W456" i="8"/>
  <c r="W454" i="8"/>
  <c r="L451" i="8"/>
  <c r="AB446" i="8"/>
  <c r="AA446" i="8"/>
  <c r="Z446" i="8"/>
  <c r="Y446" i="8"/>
  <c r="Q446" i="8"/>
  <c r="P446" i="8"/>
  <c r="H446" i="8"/>
  <c r="G446" i="8"/>
  <c r="AA444" i="8"/>
  <c r="Z433" i="8"/>
  <c r="W433" i="8"/>
  <c r="P433" i="8"/>
  <c r="N433" i="8"/>
  <c r="G433" i="8"/>
  <c r="E433" i="8"/>
  <c r="Z432" i="8"/>
  <c r="W432" i="8"/>
  <c r="P432" i="8"/>
  <c r="N432" i="8"/>
  <c r="G432" i="8"/>
  <c r="E432" i="8"/>
  <c r="Z431" i="8"/>
  <c r="Y431" i="8"/>
  <c r="X431" i="8"/>
  <c r="W431" i="8"/>
  <c r="P431" i="8"/>
  <c r="O431" i="8"/>
  <c r="N431" i="8"/>
  <c r="G431" i="8"/>
  <c r="F431" i="8"/>
  <c r="E431" i="8"/>
  <c r="Z430" i="8"/>
  <c r="Y430" i="8"/>
  <c r="X430" i="8"/>
  <c r="W430" i="8"/>
  <c r="P430" i="8"/>
  <c r="O430" i="8"/>
  <c r="N430" i="8"/>
  <c r="G430" i="8"/>
  <c r="F430" i="8"/>
  <c r="E430" i="8"/>
  <c r="Z429" i="8"/>
  <c r="Y429" i="8"/>
  <c r="X429" i="8"/>
  <c r="W429" i="8"/>
  <c r="P429" i="8"/>
  <c r="O429" i="8"/>
  <c r="N429" i="8"/>
  <c r="G429" i="8"/>
  <c r="F429" i="8"/>
  <c r="E429" i="8"/>
  <c r="Z428" i="8"/>
  <c r="Y428" i="8"/>
  <c r="X428" i="8"/>
  <c r="W428" i="8"/>
  <c r="P428" i="8"/>
  <c r="O428" i="8"/>
  <c r="N428" i="8"/>
  <c r="G428" i="8"/>
  <c r="F428" i="8"/>
  <c r="E428" i="8"/>
  <c r="AB427" i="8"/>
  <c r="AA427" i="8"/>
  <c r="Z427" i="8"/>
  <c r="W427" i="8"/>
  <c r="Q427" i="8"/>
  <c r="P427" i="8"/>
  <c r="N427" i="8"/>
  <c r="H427" i="8"/>
  <c r="G427" i="8"/>
  <c r="E427" i="8"/>
  <c r="AB426" i="8"/>
  <c r="AA426" i="8"/>
  <c r="Z426" i="8"/>
  <c r="W426" i="8"/>
  <c r="Q426" i="8"/>
  <c r="P426" i="8"/>
  <c r="N426" i="8"/>
  <c r="H426" i="8"/>
  <c r="G426" i="8"/>
  <c r="E426" i="8"/>
  <c r="Z425" i="8"/>
  <c r="W425" i="8"/>
  <c r="P425" i="8"/>
  <c r="N425" i="8"/>
  <c r="G425" i="8"/>
  <c r="E425" i="8"/>
  <c r="Z424" i="8"/>
  <c r="W424" i="8"/>
  <c r="P424" i="8"/>
  <c r="N424" i="8"/>
  <c r="G424" i="8"/>
  <c r="E424" i="8"/>
  <c r="Z423" i="8"/>
  <c r="W423" i="8"/>
  <c r="P423" i="8"/>
  <c r="N423" i="8"/>
  <c r="G423" i="8"/>
  <c r="E423" i="8"/>
  <c r="Z420" i="8"/>
  <c r="W420" i="8"/>
  <c r="P420" i="8"/>
  <c r="N420" i="8"/>
  <c r="G420" i="8"/>
  <c r="E420" i="8"/>
  <c r="Z419" i="8"/>
  <c r="W419" i="8"/>
  <c r="P419" i="8"/>
  <c r="N419" i="8"/>
  <c r="G419" i="8"/>
  <c r="E419" i="8"/>
  <c r="Z418" i="8"/>
  <c r="W418" i="8"/>
  <c r="P418" i="8"/>
  <c r="N418" i="8"/>
  <c r="G418" i="8"/>
  <c r="E418" i="8"/>
  <c r="Z417" i="8"/>
  <c r="W417" i="8"/>
  <c r="P417" i="8"/>
  <c r="N417" i="8"/>
  <c r="G417" i="8"/>
  <c r="E417" i="8"/>
  <c r="Z416" i="8"/>
  <c r="W416" i="8"/>
  <c r="P416" i="8"/>
  <c r="N416" i="8"/>
  <c r="G416" i="8"/>
  <c r="E416" i="8"/>
  <c r="Z415" i="8"/>
  <c r="W415" i="8"/>
  <c r="P415" i="8"/>
  <c r="N415" i="8"/>
  <c r="G415" i="8"/>
  <c r="E415" i="8"/>
  <c r="Z414" i="8"/>
  <c r="Y414" i="8"/>
  <c r="X414" i="8"/>
  <c r="W414" i="8"/>
  <c r="P414" i="8"/>
  <c r="O414" i="8"/>
  <c r="N414" i="8"/>
  <c r="G414" i="8"/>
  <c r="F414" i="8"/>
  <c r="E414" i="8"/>
  <c r="Q412" i="8"/>
  <c r="P412" i="8"/>
  <c r="O412" i="8"/>
  <c r="N412" i="8"/>
  <c r="G412" i="8"/>
  <c r="E412" i="8"/>
  <c r="Z411" i="8"/>
  <c r="W411" i="8"/>
  <c r="P411" i="8"/>
  <c r="N411" i="8"/>
  <c r="G411" i="8"/>
  <c r="E411" i="8"/>
  <c r="P410" i="8"/>
  <c r="N410" i="8"/>
  <c r="G410" i="8"/>
  <c r="E410" i="8"/>
  <c r="Z409" i="8"/>
  <c r="W409" i="8"/>
  <c r="P409" i="8"/>
  <c r="N409" i="8"/>
  <c r="G409" i="8"/>
  <c r="E409" i="8"/>
  <c r="Z407" i="8"/>
  <c r="W407" i="8"/>
  <c r="P407" i="8"/>
  <c r="N407" i="8"/>
  <c r="G407" i="8"/>
  <c r="E407" i="8"/>
  <c r="Z406" i="8"/>
  <c r="W406" i="8"/>
  <c r="P406" i="8"/>
  <c r="N406" i="8"/>
  <c r="G406" i="8"/>
  <c r="E406" i="8"/>
  <c r="Z404" i="8"/>
  <c r="W404" i="8"/>
  <c r="P404" i="8"/>
  <c r="N404" i="8"/>
  <c r="G404" i="8"/>
  <c r="E404" i="8"/>
  <c r="Z403" i="8"/>
  <c r="W403" i="8"/>
  <c r="P403" i="8"/>
  <c r="N403" i="8"/>
  <c r="G403" i="8"/>
  <c r="E403" i="8"/>
  <c r="Z401" i="8"/>
  <c r="W401" i="8"/>
  <c r="P401" i="8"/>
  <c r="N401" i="8"/>
  <c r="G401" i="8"/>
  <c r="E401" i="8"/>
  <c r="Z400" i="8"/>
  <c r="W400" i="8"/>
  <c r="P400" i="8"/>
  <c r="N400" i="8"/>
  <c r="G400" i="8"/>
  <c r="E400" i="8"/>
  <c r="Z399" i="8"/>
  <c r="W399" i="8"/>
  <c r="P399" i="8"/>
  <c r="N399" i="8"/>
  <c r="G399" i="8"/>
  <c r="E399" i="8"/>
  <c r="AB398" i="8"/>
  <c r="AA398" i="8"/>
  <c r="Z398" i="8"/>
  <c r="W398" i="8"/>
  <c r="Q398" i="8"/>
  <c r="P398" i="8"/>
  <c r="N398" i="8"/>
  <c r="H398" i="8"/>
  <c r="G398" i="8"/>
  <c r="E398" i="8"/>
  <c r="AB380" i="8"/>
  <c r="AA380" i="8"/>
  <c r="Z380" i="8"/>
  <c r="Y380" i="8"/>
  <c r="W380" i="8"/>
  <c r="W378" i="8"/>
  <c r="L375" i="8"/>
  <c r="AB370" i="8"/>
  <c r="AA370" i="8"/>
  <c r="Z370" i="8"/>
  <c r="Y370" i="8"/>
  <c r="Q370" i="8"/>
  <c r="P370" i="8"/>
  <c r="H370" i="8"/>
  <c r="G370" i="8"/>
  <c r="AA368" i="8"/>
  <c r="Z357" i="8"/>
  <c r="W357" i="8"/>
  <c r="P357" i="8"/>
  <c r="N357" i="8"/>
  <c r="G357" i="8"/>
  <c r="E357" i="8"/>
  <c r="Z356" i="8"/>
  <c r="W356" i="8"/>
  <c r="P356" i="8"/>
  <c r="N356" i="8"/>
  <c r="G356" i="8"/>
  <c r="E356" i="8"/>
  <c r="Z355" i="8"/>
  <c r="Y355" i="8"/>
  <c r="X355" i="8"/>
  <c r="W355" i="8"/>
  <c r="P355" i="8"/>
  <c r="O355" i="8"/>
  <c r="N355" i="8"/>
  <c r="G355" i="8"/>
  <c r="F355" i="8"/>
  <c r="E355" i="8"/>
  <c r="Z354" i="8"/>
  <c r="Y354" i="8"/>
  <c r="X354" i="8"/>
  <c r="W354" i="8"/>
  <c r="P354" i="8"/>
  <c r="O354" i="8"/>
  <c r="N354" i="8"/>
  <c r="G354" i="8"/>
  <c r="F354" i="8"/>
  <c r="E354" i="8"/>
  <c r="Z353" i="8"/>
  <c r="Y353" i="8"/>
  <c r="X353" i="8"/>
  <c r="W353" i="8"/>
  <c r="P353" i="8"/>
  <c r="O353" i="8"/>
  <c r="N353" i="8"/>
  <c r="G353" i="8"/>
  <c r="F353" i="8"/>
  <c r="E353" i="8"/>
  <c r="Z352" i="8"/>
  <c r="Y352" i="8"/>
  <c r="X352" i="8"/>
  <c r="W352" i="8"/>
  <c r="P352" i="8"/>
  <c r="O352" i="8"/>
  <c r="N352" i="8"/>
  <c r="G352" i="8"/>
  <c r="F352" i="8"/>
  <c r="E352" i="8"/>
  <c r="AB351" i="8"/>
  <c r="AA351" i="8"/>
  <c r="Z351" i="8"/>
  <c r="W351" i="8"/>
  <c r="Q351" i="8"/>
  <c r="P351" i="8"/>
  <c r="N351" i="8"/>
  <c r="H351" i="8"/>
  <c r="G351" i="8"/>
  <c r="E351" i="8"/>
  <c r="AB350" i="8"/>
  <c r="AA350" i="8"/>
  <c r="Z350" i="8"/>
  <c r="W350" i="8"/>
  <c r="Q350" i="8"/>
  <c r="P350" i="8"/>
  <c r="N350" i="8"/>
  <c r="H350" i="8"/>
  <c r="G350" i="8"/>
  <c r="E350" i="8"/>
  <c r="Z349" i="8"/>
  <c r="W349" i="8"/>
  <c r="P349" i="8"/>
  <c r="N349" i="8"/>
  <c r="G349" i="8"/>
  <c r="E349" i="8"/>
  <c r="Z348" i="8"/>
  <c r="W348" i="8"/>
  <c r="P348" i="8"/>
  <c r="N348" i="8"/>
  <c r="G348" i="8"/>
  <c r="E348" i="8"/>
  <c r="Z347" i="8"/>
  <c r="W347" i="8"/>
  <c r="P347" i="8"/>
  <c r="N347" i="8"/>
  <c r="G347" i="8"/>
  <c r="E347" i="8"/>
  <c r="Z344" i="8"/>
  <c r="W344" i="8"/>
  <c r="P344" i="8"/>
  <c r="N344" i="8"/>
  <c r="G344" i="8"/>
  <c r="E344" i="8"/>
  <c r="Z343" i="8"/>
  <c r="W343" i="8"/>
  <c r="P343" i="8"/>
  <c r="N343" i="8"/>
  <c r="G343" i="8"/>
  <c r="E343" i="8"/>
  <c r="Z342" i="8"/>
  <c r="W342" i="8"/>
  <c r="P342" i="8"/>
  <c r="N342" i="8"/>
  <c r="G342" i="8"/>
  <c r="E342" i="8"/>
  <c r="Z341" i="8"/>
  <c r="W341" i="8"/>
  <c r="P341" i="8"/>
  <c r="N341" i="8"/>
  <c r="G341" i="8"/>
  <c r="E341" i="8"/>
  <c r="Z340" i="8"/>
  <c r="W340" i="8"/>
  <c r="P340" i="8"/>
  <c r="N340" i="8"/>
  <c r="G340" i="8"/>
  <c r="E340" i="8"/>
  <c r="Z339" i="8"/>
  <c r="W339" i="8"/>
  <c r="P339" i="8"/>
  <c r="N339" i="8"/>
  <c r="G339" i="8"/>
  <c r="E339" i="8"/>
  <c r="Z338" i="8"/>
  <c r="Y338" i="8"/>
  <c r="X338" i="8"/>
  <c r="W338" i="8"/>
  <c r="P338" i="8"/>
  <c r="O338" i="8"/>
  <c r="N338" i="8"/>
  <c r="G338" i="8"/>
  <c r="F338" i="8"/>
  <c r="E338" i="8"/>
  <c r="Q336" i="8"/>
  <c r="P336" i="8"/>
  <c r="O336" i="8"/>
  <c r="N336" i="8"/>
  <c r="G336" i="8"/>
  <c r="E336" i="8"/>
  <c r="Z335" i="8"/>
  <c r="W335" i="8"/>
  <c r="P335" i="8"/>
  <c r="N335" i="8"/>
  <c r="G335" i="8"/>
  <c r="E335" i="8"/>
  <c r="P334" i="8"/>
  <c r="N334" i="8"/>
  <c r="G334" i="8"/>
  <c r="E334" i="8"/>
  <c r="Z333" i="8"/>
  <c r="W333" i="8"/>
  <c r="P333" i="8"/>
  <c r="N333" i="8"/>
  <c r="G333" i="8"/>
  <c r="E333" i="8"/>
  <c r="Z331" i="8"/>
  <c r="W331" i="8"/>
  <c r="P331" i="8"/>
  <c r="N331" i="8"/>
  <c r="G331" i="8"/>
  <c r="E331" i="8"/>
  <c r="Z330" i="8"/>
  <c r="W330" i="8"/>
  <c r="P330" i="8"/>
  <c r="N330" i="8"/>
  <c r="G330" i="8"/>
  <c r="E330" i="8"/>
  <c r="Z328" i="8"/>
  <c r="W328" i="8"/>
  <c r="P328" i="8"/>
  <c r="N328" i="8"/>
  <c r="G328" i="8"/>
  <c r="E328" i="8"/>
  <c r="Z327" i="8"/>
  <c r="W327" i="8"/>
  <c r="P327" i="8"/>
  <c r="N327" i="8"/>
  <c r="G327" i="8"/>
  <c r="E327" i="8"/>
  <c r="Z325" i="8"/>
  <c r="W325" i="8"/>
  <c r="P325" i="8"/>
  <c r="N325" i="8"/>
  <c r="G325" i="8"/>
  <c r="E325" i="8"/>
  <c r="Z324" i="8"/>
  <c r="W324" i="8"/>
  <c r="P324" i="8"/>
  <c r="N324" i="8"/>
  <c r="G324" i="8"/>
  <c r="E324" i="8"/>
  <c r="Z323" i="8"/>
  <c r="W323" i="8"/>
  <c r="P323" i="8"/>
  <c r="N323" i="8"/>
  <c r="G323" i="8"/>
  <c r="E323" i="8"/>
  <c r="AB322" i="8"/>
  <c r="AA322" i="8"/>
  <c r="Z322" i="8"/>
  <c r="W322" i="8"/>
  <c r="Q322" i="8"/>
  <c r="P322" i="8"/>
  <c r="N322" i="8"/>
  <c r="H322" i="8"/>
  <c r="G322" i="8"/>
  <c r="E322" i="8"/>
  <c r="AB304" i="8"/>
  <c r="AA304" i="8"/>
  <c r="Z304" i="8"/>
  <c r="Y304" i="8"/>
  <c r="W304" i="8"/>
  <c r="W302" i="8"/>
  <c r="L299" i="8"/>
  <c r="AB294" i="8"/>
  <c r="AA294" i="8"/>
  <c r="Z294" i="8"/>
  <c r="Y294" i="8"/>
  <c r="Q294" i="8"/>
  <c r="P294" i="8"/>
  <c r="H294" i="8"/>
  <c r="G294" i="8"/>
  <c r="AA292" i="8"/>
  <c r="Z281" i="8"/>
  <c r="W281" i="8"/>
  <c r="P281" i="8"/>
  <c r="N281" i="8"/>
  <c r="G281" i="8"/>
  <c r="E281" i="8"/>
  <c r="Z280" i="8"/>
  <c r="W280" i="8"/>
  <c r="P280" i="8"/>
  <c r="N280" i="8"/>
  <c r="G280" i="8"/>
  <c r="E280" i="8"/>
  <c r="Z279" i="8"/>
  <c r="Y279" i="8"/>
  <c r="X279" i="8"/>
  <c r="W279" i="8"/>
  <c r="P279" i="8"/>
  <c r="O279" i="8"/>
  <c r="N279" i="8"/>
  <c r="G279" i="8"/>
  <c r="F279" i="8"/>
  <c r="E279" i="8"/>
  <c r="Z278" i="8"/>
  <c r="Y278" i="8"/>
  <c r="X278" i="8"/>
  <c r="W278" i="8"/>
  <c r="P278" i="8"/>
  <c r="O278" i="8"/>
  <c r="N278" i="8"/>
  <c r="G278" i="8"/>
  <c r="F278" i="8"/>
  <c r="E278" i="8"/>
  <c r="Z277" i="8"/>
  <c r="Y277" i="8"/>
  <c r="X277" i="8"/>
  <c r="W277" i="8"/>
  <c r="P277" i="8"/>
  <c r="O277" i="8"/>
  <c r="N277" i="8"/>
  <c r="G277" i="8"/>
  <c r="F277" i="8"/>
  <c r="E277" i="8"/>
  <c r="Z276" i="8"/>
  <c r="Y276" i="8"/>
  <c r="X276" i="8"/>
  <c r="W276" i="8"/>
  <c r="P276" i="8"/>
  <c r="O276" i="8"/>
  <c r="N276" i="8"/>
  <c r="G276" i="8"/>
  <c r="F276" i="8"/>
  <c r="E276" i="8"/>
  <c r="AB275" i="8"/>
  <c r="AA275" i="8"/>
  <c r="Z275" i="8"/>
  <c r="W275" i="8"/>
  <c r="Q275" i="8"/>
  <c r="P275" i="8"/>
  <c r="N275" i="8"/>
  <c r="H275" i="8"/>
  <c r="G275" i="8"/>
  <c r="E275" i="8"/>
  <c r="AB274" i="8"/>
  <c r="AA274" i="8"/>
  <c r="Z274" i="8"/>
  <c r="W274" i="8"/>
  <c r="Q274" i="8"/>
  <c r="P274" i="8"/>
  <c r="N274" i="8"/>
  <c r="H274" i="8"/>
  <c r="G274" i="8"/>
  <c r="E274" i="8"/>
  <c r="Z273" i="8"/>
  <c r="W273" i="8"/>
  <c r="P273" i="8"/>
  <c r="N273" i="8"/>
  <c r="G273" i="8"/>
  <c r="E273" i="8"/>
  <c r="Z272" i="8"/>
  <c r="W272" i="8"/>
  <c r="P272" i="8"/>
  <c r="N272" i="8"/>
  <c r="G272" i="8"/>
  <c r="E272" i="8"/>
  <c r="Z271" i="8"/>
  <c r="W271" i="8"/>
  <c r="P271" i="8"/>
  <c r="N271" i="8"/>
  <c r="G271" i="8"/>
  <c r="E271" i="8"/>
  <c r="Z268" i="8"/>
  <c r="W268" i="8"/>
  <c r="P268" i="8"/>
  <c r="N268" i="8"/>
  <c r="G268" i="8"/>
  <c r="E268" i="8"/>
  <c r="Z267" i="8"/>
  <c r="W267" i="8"/>
  <c r="P267" i="8"/>
  <c r="N267" i="8"/>
  <c r="G267" i="8"/>
  <c r="E267" i="8"/>
  <c r="Z266" i="8"/>
  <c r="W266" i="8"/>
  <c r="P266" i="8"/>
  <c r="N266" i="8"/>
  <c r="G266" i="8"/>
  <c r="E266" i="8"/>
  <c r="Z265" i="8"/>
  <c r="W265" i="8"/>
  <c r="P265" i="8"/>
  <c r="N265" i="8"/>
  <c r="G265" i="8"/>
  <c r="E265" i="8"/>
  <c r="Z264" i="8"/>
  <c r="W264" i="8"/>
  <c r="P264" i="8"/>
  <c r="N264" i="8"/>
  <c r="G264" i="8"/>
  <c r="E264" i="8"/>
  <c r="Z263" i="8"/>
  <c r="W263" i="8"/>
  <c r="P263" i="8"/>
  <c r="N263" i="8"/>
  <c r="G263" i="8"/>
  <c r="E263" i="8"/>
  <c r="Z262" i="8"/>
  <c r="Y262" i="8"/>
  <c r="X262" i="8"/>
  <c r="W262" i="8"/>
  <c r="P262" i="8"/>
  <c r="O262" i="8"/>
  <c r="N262" i="8"/>
  <c r="G262" i="8"/>
  <c r="F262" i="8"/>
  <c r="E262" i="8"/>
  <c r="Q260" i="8"/>
  <c r="P260" i="8"/>
  <c r="O260" i="8"/>
  <c r="N260" i="8"/>
  <c r="G260" i="8"/>
  <c r="E260" i="8"/>
  <c r="Z259" i="8"/>
  <c r="W259" i="8"/>
  <c r="P259" i="8"/>
  <c r="N259" i="8"/>
  <c r="G259" i="8"/>
  <c r="E259" i="8"/>
  <c r="P258" i="8"/>
  <c r="N258" i="8"/>
  <c r="G258" i="8"/>
  <c r="E258" i="8"/>
  <c r="Z257" i="8"/>
  <c r="W257" i="8"/>
  <c r="P257" i="8"/>
  <c r="N257" i="8"/>
  <c r="G257" i="8"/>
  <c r="E257" i="8"/>
  <c r="Z255" i="8"/>
  <c r="W255" i="8"/>
  <c r="P255" i="8"/>
  <c r="N255" i="8"/>
  <c r="G255" i="8"/>
  <c r="E255" i="8"/>
  <c r="Z254" i="8"/>
  <c r="W254" i="8"/>
  <c r="P254" i="8"/>
  <c r="N254" i="8"/>
  <c r="G254" i="8"/>
  <c r="E254" i="8"/>
  <c r="Z252" i="8"/>
  <c r="W252" i="8"/>
  <c r="P252" i="8"/>
  <c r="N252" i="8"/>
  <c r="G252" i="8"/>
  <c r="E252" i="8"/>
  <c r="Z251" i="8"/>
  <c r="W251" i="8"/>
  <c r="P251" i="8"/>
  <c r="N251" i="8"/>
  <c r="G251" i="8"/>
  <c r="E251" i="8"/>
  <c r="Z249" i="8"/>
  <c r="W249" i="8"/>
  <c r="P249" i="8"/>
  <c r="N249" i="8"/>
  <c r="G249" i="8"/>
  <c r="E249" i="8"/>
  <c r="Z248" i="8"/>
  <c r="W248" i="8"/>
  <c r="P248" i="8"/>
  <c r="N248" i="8"/>
  <c r="G248" i="8"/>
  <c r="E248" i="8"/>
  <c r="Z247" i="8"/>
  <c r="W247" i="8"/>
  <c r="P247" i="8"/>
  <c r="N247" i="8"/>
  <c r="G247" i="8"/>
  <c r="E247" i="8"/>
  <c r="AB246" i="8"/>
  <c r="AA246" i="8"/>
  <c r="Z246" i="8"/>
  <c r="W246" i="8"/>
  <c r="Q246" i="8"/>
  <c r="P246" i="8"/>
  <c r="N246" i="8"/>
  <c r="H246" i="8"/>
  <c r="G246" i="8"/>
  <c r="E246" i="8"/>
  <c r="AB228" i="8"/>
  <c r="AA228" i="8"/>
  <c r="Z228" i="8"/>
  <c r="Y228" i="8"/>
  <c r="W228" i="8"/>
  <c r="W226" i="8"/>
  <c r="L223" i="8"/>
  <c r="AB218" i="8"/>
  <c r="AA218" i="8"/>
  <c r="Z218" i="8"/>
  <c r="Y218" i="8"/>
  <c r="Q218" i="8"/>
  <c r="P218" i="8"/>
  <c r="H218" i="8"/>
  <c r="G218" i="8"/>
  <c r="AA216" i="8"/>
  <c r="Z205" i="8"/>
  <c r="W205" i="8"/>
  <c r="P205" i="8"/>
  <c r="N205" i="8"/>
  <c r="G205" i="8"/>
  <c r="E205" i="8"/>
  <c r="Z204" i="8"/>
  <c r="W204" i="8"/>
  <c r="P204" i="8"/>
  <c r="N204" i="8"/>
  <c r="G204" i="8"/>
  <c r="E204" i="8"/>
  <c r="Z203" i="8"/>
  <c r="Y203" i="8"/>
  <c r="X203" i="8"/>
  <c r="W203" i="8"/>
  <c r="P203" i="8"/>
  <c r="O203" i="8"/>
  <c r="N203" i="8"/>
  <c r="G203" i="8"/>
  <c r="F203" i="8"/>
  <c r="E203" i="8"/>
  <c r="Z202" i="8"/>
  <c r="Y202" i="8"/>
  <c r="X202" i="8"/>
  <c r="W202" i="8"/>
  <c r="P202" i="8"/>
  <c r="O202" i="8"/>
  <c r="N202" i="8"/>
  <c r="G202" i="8"/>
  <c r="F202" i="8"/>
  <c r="E202" i="8"/>
  <c r="Z201" i="8"/>
  <c r="Y201" i="8"/>
  <c r="X201" i="8"/>
  <c r="W201" i="8"/>
  <c r="P201" i="8"/>
  <c r="O201" i="8"/>
  <c r="N201" i="8"/>
  <c r="G201" i="8"/>
  <c r="F201" i="8"/>
  <c r="E201" i="8"/>
  <c r="Z200" i="8"/>
  <c r="Y200" i="8"/>
  <c r="X200" i="8"/>
  <c r="W200" i="8"/>
  <c r="P200" i="8"/>
  <c r="O200" i="8"/>
  <c r="N200" i="8"/>
  <c r="G200" i="8"/>
  <c r="F200" i="8"/>
  <c r="E200" i="8"/>
  <c r="AB199" i="8"/>
  <c r="AA199" i="8"/>
  <c r="Z199" i="8"/>
  <c r="W199" i="8"/>
  <c r="Q199" i="8"/>
  <c r="P199" i="8"/>
  <c r="N199" i="8"/>
  <c r="H199" i="8"/>
  <c r="G199" i="8"/>
  <c r="E199" i="8"/>
  <c r="AB198" i="8"/>
  <c r="AA198" i="8"/>
  <c r="Z198" i="8"/>
  <c r="W198" i="8"/>
  <c r="Q198" i="8"/>
  <c r="P198" i="8"/>
  <c r="N198" i="8"/>
  <c r="H198" i="8"/>
  <c r="G198" i="8"/>
  <c r="E198" i="8"/>
  <c r="Z197" i="8"/>
  <c r="W197" i="8"/>
  <c r="P197" i="8"/>
  <c r="N197" i="8"/>
  <c r="G197" i="8"/>
  <c r="E197" i="8"/>
  <c r="Z196" i="8"/>
  <c r="W196" i="8"/>
  <c r="P196" i="8"/>
  <c r="N196" i="8"/>
  <c r="G196" i="8"/>
  <c r="E196" i="8"/>
  <c r="Z195" i="8"/>
  <c r="W195" i="8"/>
  <c r="P195" i="8"/>
  <c r="N195" i="8"/>
  <c r="G195" i="8"/>
  <c r="E195" i="8"/>
  <c r="Z192" i="8"/>
  <c r="W192" i="8"/>
  <c r="P192" i="8"/>
  <c r="N192" i="8"/>
  <c r="G192" i="8"/>
  <c r="E192" i="8"/>
  <c r="Z191" i="8"/>
  <c r="W191" i="8"/>
  <c r="P191" i="8"/>
  <c r="N191" i="8"/>
  <c r="G191" i="8"/>
  <c r="E191" i="8"/>
  <c r="Z190" i="8"/>
  <c r="W190" i="8"/>
  <c r="P190" i="8"/>
  <c r="N190" i="8"/>
  <c r="G190" i="8"/>
  <c r="E190" i="8"/>
  <c r="Z189" i="8"/>
  <c r="W189" i="8"/>
  <c r="P189" i="8"/>
  <c r="N189" i="8"/>
  <c r="G189" i="8"/>
  <c r="E189" i="8"/>
  <c r="Z188" i="8"/>
  <c r="W188" i="8"/>
  <c r="P188" i="8"/>
  <c r="N188" i="8"/>
  <c r="G188" i="8"/>
  <c r="E188" i="8"/>
  <c r="Z187" i="8"/>
  <c r="W187" i="8"/>
  <c r="P187" i="8"/>
  <c r="N187" i="8"/>
  <c r="G187" i="8"/>
  <c r="E187" i="8"/>
  <c r="Z186" i="8"/>
  <c r="Y186" i="8"/>
  <c r="X186" i="8"/>
  <c r="W186" i="8"/>
  <c r="P186" i="8"/>
  <c r="O186" i="8"/>
  <c r="N186" i="8"/>
  <c r="G186" i="8"/>
  <c r="F186" i="8"/>
  <c r="E186" i="8"/>
  <c r="Q184" i="8"/>
  <c r="P184" i="8"/>
  <c r="O184" i="8"/>
  <c r="N184" i="8"/>
  <c r="G184" i="8"/>
  <c r="E184" i="8"/>
  <c r="Z183" i="8"/>
  <c r="W183" i="8"/>
  <c r="P183" i="8"/>
  <c r="N183" i="8"/>
  <c r="G183" i="8"/>
  <c r="E183" i="8"/>
  <c r="P182" i="8"/>
  <c r="N182" i="8"/>
  <c r="G182" i="8"/>
  <c r="E182" i="8"/>
  <c r="Z181" i="8"/>
  <c r="W181" i="8"/>
  <c r="P181" i="8"/>
  <c r="N181" i="8"/>
  <c r="G181" i="8"/>
  <c r="E181" i="8"/>
  <c r="Z179" i="8"/>
  <c r="W179" i="8"/>
  <c r="P179" i="8"/>
  <c r="N179" i="8"/>
  <c r="G179" i="8"/>
  <c r="E179" i="8"/>
  <c r="Z178" i="8"/>
  <c r="W178" i="8"/>
  <c r="P178" i="8"/>
  <c r="N178" i="8"/>
  <c r="G178" i="8"/>
  <c r="E178" i="8"/>
  <c r="Z176" i="8"/>
  <c r="W176" i="8"/>
  <c r="P176" i="8"/>
  <c r="N176" i="8"/>
  <c r="G176" i="8"/>
  <c r="E176" i="8"/>
  <c r="Z175" i="8"/>
  <c r="W175" i="8"/>
  <c r="P175" i="8"/>
  <c r="N175" i="8"/>
  <c r="G175" i="8"/>
  <c r="E175" i="8"/>
  <c r="Z173" i="8"/>
  <c r="W173" i="8"/>
  <c r="P173" i="8"/>
  <c r="N173" i="8"/>
  <c r="G173" i="8"/>
  <c r="E173" i="8"/>
  <c r="Z172" i="8"/>
  <c r="W172" i="8"/>
  <c r="P172" i="8"/>
  <c r="N172" i="8"/>
  <c r="G172" i="8"/>
  <c r="E172" i="8"/>
  <c r="Z171" i="8"/>
  <c r="W171" i="8"/>
  <c r="P171" i="8"/>
  <c r="N171" i="8"/>
  <c r="G171" i="8"/>
  <c r="E171" i="8"/>
  <c r="AB170" i="8"/>
  <c r="AA170" i="8"/>
  <c r="Z170" i="8"/>
  <c r="W170" i="8"/>
  <c r="Q170" i="8"/>
  <c r="P170" i="8"/>
  <c r="N170" i="8"/>
  <c r="H170" i="8"/>
  <c r="G170" i="8"/>
  <c r="E170" i="8"/>
  <c r="AB152" i="8"/>
  <c r="AA152" i="8"/>
  <c r="Z152" i="8"/>
  <c r="Y152" i="8"/>
  <c r="W152" i="8"/>
  <c r="W150" i="8"/>
  <c r="L147" i="8"/>
  <c r="AB142" i="8"/>
  <c r="AA142" i="8"/>
  <c r="Z142" i="8"/>
  <c r="Y142" i="8"/>
  <c r="Q142" i="8"/>
  <c r="P142" i="8"/>
  <c r="H142" i="8"/>
  <c r="G142" i="8"/>
  <c r="Z129" i="8"/>
  <c r="W129" i="8"/>
  <c r="P129" i="8"/>
  <c r="N129" i="8"/>
  <c r="G129" i="8"/>
  <c r="E129" i="8"/>
  <c r="Z128" i="8"/>
  <c r="W128" i="8"/>
  <c r="P128" i="8"/>
  <c r="N128" i="8"/>
  <c r="G128" i="8"/>
  <c r="E128" i="8"/>
  <c r="Z127" i="8"/>
  <c r="Y127" i="8"/>
  <c r="X127" i="8"/>
  <c r="W127" i="8"/>
  <c r="P127" i="8"/>
  <c r="O127" i="8"/>
  <c r="N127" i="8"/>
  <c r="G127" i="8"/>
  <c r="F127" i="8"/>
  <c r="E127" i="8"/>
  <c r="Z126" i="8"/>
  <c r="Y126" i="8"/>
  <c r="X126" i="8"/>
  <c r="W126" i="8"/>
  <c r="P126" i="8"/>
  <c r="O126" i="8"/>
  <c r="N126" i="8"/>
  <c r="G126" i="8"/>
  <c r="F126" i="8"/>
  <c r="E126" i="8"/>
  <c r="Z125" i="8"/>
  <c r="Y125" i="8"/>
  <c r="X125" i="8"/>
  <c r="W125" i="8"/>
  <c r="P125" i="8"/>
  <c r="O125" i="8"/>
  <c r="N125" i="8"/>
  <c r="G125" i="8"/>
  <c r="F125" i="8"/>
  <c r="E125" i="8"/>
  <c r="Z124" i="8"/>
  <c r="Y124" i="8"/>
  <c r="X124" i="8"/>
  <c r="W124" i="8"/>
  <c r="P124" i="8"/>
  <c r="O124" i="8"/>
  <c r="N124" i="8"/>
  <c r="G124" i="8"/>
  <c r="F124" i="8"/>
  <c r="E124" i="8"/>
  <c r="AB123" i="8"/>
  <c r="AA123" i="8"/>
  <c r="Z123" i="8"/>
  <c r="W123" i="8"/>
  <c r="Q123" i="8"/>
  <c r="P123" i="8"/>
  <c r="N123" i="8"/>
  <c r="H123" i="8"/>
  <c r="G123" i="8"/>
  <c r="E123" i="8"/>
  <c r="AB122" i="8"/>
  <c r="AA122" i="8"/>
  <c r="Z122" i="8"/>
  <c r="W122" i="8"/>
  <c r="Q122" i="8"/>
  <c r="P122" i="8"/>
  <c r="N122" i="8"/>
  <c r="H122" i="8"/>
  <c r="G122" i="8"/>
  <c r="E122" i="8"/>
  <c r="Z121" i="8"/>
  <c r="W121" i="8"/>
  <c r="P121" i="8"/>
  <c r="N121" i="8"/>
  <c r="G121" i="8"/>
  <c r="E121" i="8"/>
  <c r="Z120" i="8"/>
  <c r="W120" i="8"/>
  <c r="P120" i="8"/>
  <c r="N120" i="8"/>
  <c r="G120" i="8"/>
  <c r="E120" i="8"/>
  <c r="Z119" i="8"/>
  <c r="W119" i="8"/>
  <c r="P119" i="8"/>
  <c r="N119" i="8"/>
  <c r="G119" i="8"/>
  <c r="E119" i="8"/>
  <c r="Z116" i="8"/>
  <c r="W116" i="8"/>
  <c r="P116" i="8"/>
  <c r="N116" i="8"/>
  <c r="G116" i="8"/>
  <c r="E116" i="8"/>
  <c r="Z115" i="8"/>
  <c r="W115" i="8"/>
  <c r="P115" i="8"/>
  <c r="N115" i="8"/>
  <c r="G115" i="8"/>
  <c r="E115" i="8"/>
  <c r="Z114" i="8"/>
  <c r="W114" i="8"/>
  <c r="P114" i="8"/>
  <c r="N114" i="8"/>
  <c r="G114" i="8"/>
  <c r="E114" i="8"/>
  <c r="Z113" i="8"/>
  <c r="W113" i="8"/>
  <c r="P113" i="8"/>
  <c r="N113" i="8"/>
  <c r="G113" i="8"/>
  <c r="E113" i="8"/>
  <c r="Z112" i="8"/>
  <c r="W112" i="8"/>
  <c r="P112" i="8"/>
  <c r="N112" i="8"/>
  <c r="G112" i="8"/>
  <c r="E112" i="8"/>
  <c r="Z111" i="8"/>
  <c r="W111" i="8"/>
  <c r="P111" i="8"/>
  <c r="N111" i="8"/>
  <c r="G111" i="8"/>
  <c r="E111" i="8"/>
  <c r="Z110" i="8"/>
  <c r="Y110" i="8"/>
  <c r="X110" i="8"/>
  <c r="W110" i="8"/>
  <c r="P110" i="8"/>
  <c r="O110" i="8"/>
  <c r="N110" i="8"/>
  <c r="G110" i="8"/>
  <c r="F110" i="8"/>
  <c r="E110" i="8"/>
  <c r="Q108" i="8"/>
  <c r="P108" i="8"/>
  <c r="O108" i="8"/>
  <c r="N108" i="8"/>
  <c r="G108" i="8"/>
  <c r="E108" i="8"/>
  <c r="Z107" i="8"/>
  <c r="W107" i="8"/>
  <c r="P107" i="8"/>
  <c r="N107" i="8"/>
  <c r="G107" i="8"/>
  <c r="E107" i="8"/>
  <c r="P106" i="8"/>
  <c r="N106" i="8"/>
  <c r="G106" i="8"/>
  <c r="E106" i="8"/>
  <c r="Z105" i="8"/>
  <c r="W105" i="8"/>
  <c r="P105" i="8"/>
  <c r="N105" i="8"/>
  <c r="G105" i="8"/>
  <c r="E105" i="8"/>
  <c r="Z103" i="8"/>
  <c r="W103" i="8"/>
  <c r="P103" i="8"/>
  <c r="N103" i="8"/>
  <c r="G103" i="8"/>
  <c r="E103" i="8"/>
  <c r="Z102" i="8"/>
  <c r="W102" i="8"/>
  <c r="P102" i="8"/>
  <c r="N102" i="8"/>
  <c r="G102" i="8"/>
  <c r="E102" i="8"/>
  <c r="Z100" i="8"/>
  <c r="W100" i="8"/>
  <c r="P100" i="8"/>
  <c r="N100" i="8"/>
  <c r="G100" i="8"/>
  <c r="E100" i="8"/>
  <c r="Z99" i="8"/>
  <c r="W99" i="8"/>
  <c r="P99" i="8"/>
  <c r="N99" i="8"/>
  <c r="G99" i="8"/>
  <c r="E99" i="8"/>
  <c r="Z97" i="8"/>
  <c r="W97" i="8"/>
  <c r="P97" i="8"/>
  <c r="N97" i="8"/>
  <c r="G97" i="8"/>
  <c r="E97" i="8"/>
  <c r="Z96" i="8"/>
  <c r="W96" i="8"/>
  <c r="P96" i="8"/>
  <c r="N96" i="8"/>
  <c r="G96" i="8"/>
  <c r="E96" i="8"/>
  <c r="Z95" i="8"/>
  <c r="W95" i="8"/>
  <c r="P95" i="8"/>
  <c r="N95" i="8"/>
  <c r="G95" i="8"/>
  <c r="E95" i="8"/>
  <c r="AB94" i="8"/>
  <c r="AA94" i="8"/>
  <c r="Z94" i="8"/>
  <c r="W94" i="8"/>
  <c r="Q94" i="8"/>
  <c r="P94" i="8"/>
  <c r="N94" i="8"/>
  <c r="H94" i="8"/>
  <c r="G94" i="8"/>
  <c r="E94" i="8"/>
  <c r="AB76" i="8"/>
  <c r="AA76" i="8"/>
  <c r="Z76" i="8"/>
  <c r="Y76" i="8"/>
  <c r="W76" i="8"/>
  <c r="W74" i="8"/>
  <c r="AB66" i="8"/>
  <c r="AA66" i="8"/>
  <c r="Z66" i="8"/>
  <c r="Y66" i="8"/>
  <c r="AB47" i="8"/>
  <c r="AB46" i="8"/>
  <c r="AB18" i="8"/>
  <c r="AA47" i="8"/>
  <c r="AA46" i="8"/>
  <c r="AA18" i="8"/>
  <c r="Z53" i="8"/>
  <c r="Z52" i="8"/>
  <c r="Z51" i="8"/>
  <c r="Z50" i="8"/>
  <c r="Z49" i="8"/>
  <c r="Z48" i="8"/>
  <c r="Z47" i="8"/>
  <c r="Z46" i="8"/>
  <c r="Z45" i="8"/>
  <c r="Z44" i="8"/>
  <c r="Z43" i="8"/>
  <c r="Z40" i="8"/>
  <c r="Z39" i="8"/>
  <c r="Z38" i="8"/>
  <c r="Z37" i="8"/>
  <c r="Z36" i="8"/>
  <c r="Z35" i="8"/>
  <c r="Z34" i="8"/>
  <c r="Z31" i="8"/>
  <c r="Z29" i="8"/>
  <c r="Z27" i="8"/>
  <c r="Z26" i="8"/>
  <c r="Z24" i="8"/>
  <c r="Z23" i="8"/>
  <c r="Z21" i="8"/>
  <c r="Z20" i="8"/>
  <c r="Z19" i="8"/>
  <c r="Z18" i="8"/>
  <c r="Y51" i="8"/>
  <c r="Y50" i="8"/>
  <c r="Y49" i="8"/>
  <c r="Y48" i="8"/>
  <c r="Y34" i="8"/>
  <c r="X51" i="8"/>
  <c r="X50" i="8"/>
  <c r="X49" i="8"/>
  <c r="X48" i="8"/>
  <c r="X34" i="8"/>
  <c r="W53" i="8"/>
  <c r="W52" i="8"/>
  <c r="W51" i="8"/>
  <c r="W50" i="8"/>
  <c r="W49" i="8"/>
  <c r="W48" i="8"/>
  <c r="W47" i="8"/>
  <c r="W46" i="8"/>
  <c r="W45" i="8"/>
  <c r="W44" i="8"/>
  <c r="W43" i="8"/>
  <c r="W40" i="8"/>
  <c r="W39" i="8"/>
  <c r="W38" i="8"/>
  <c r="W37" i="8"/>
  <c r="W36" i="8"/>
  <c r="W35" i="8"/>
  <c r="W34" i="8"/>
  <c r="W31" i="8"/>
  <c r="W29" i="8"/>
  <c r="W27" i="8"/>
  <c r="W26" i="8"/>
  <c r="W24" i="8"/>
  <c r="W23" i="8"/>
  <c r="W21" i="8"/>
  <c r="W20" i="8"/>
  <c r="W19" i="8"/>
  <c r="W18" i="8"/>
  <c r="P53" i="8"/>
  <c r="N53" i="8"/>
  <c r="P52" i="8"/>
  <c r="N52" i="8"/>
  <c r="P51" i="8"/>
  <c r="O51" i="8"/>
  <c r="N51" i="8"/>
  <c r="P50" i="8"/>
  <c r="O50" i="8"/>
  <c r="N50" i="8"/>
  <c r="P49" i="8"/>
  <c r="O49" i="8"/>
  <c r="N49" i="8"/>
  <c r="P48" i="8"/>
  <c r="O48" i="8"/>
  <c r="N48" i="8"/>
  <c r="Q47" i="8"/>
  <c r="P47" i="8"/>
  <c r="N47" i="8"/>
  <c r="Q46" i="8"/>
  <c r="P46" i="8"/>
  <c r="N46" i="8"/>
  <c r="P45" i="8"/>
  <c r="N45" i="8"/>
  <c r="P44" i="8"/>
  <c r="N44" i="8"/>
  <c r="P43" i="8"/>
  <c r="N43" i="8"/>
  <c r="P40" i="8"/>
  <c r="N40" i="8"/>
  <c r="P39" i="8"/>
  <c r="N39" i="8"/>
  <c r="P38" i="8"/>
  <c r="N38" i="8"/>
  <c r="P37" i="8"/>
  <c r="N37" i="8"/>
  <c r="P36" i="8"/>
  <c r="N36" i="8"/>
  <c r="P35" i="8"/>
  <c r="N35" i="8"/>
  <c r="P34" i="8"/>
  <c r="O34" i="8"/>
  <c r="N34" i="8"/>
  <c r="P32" i="8"/>
  <c r="N32" i="8"/>
  <c r="P31" i="8"/>
  <c r="N31" i="8"/>
  <c r="P30" i="8"/>
  <c r="N30" i="8"/>
  <c r="P29" i="8"/>
  <c r="N29" i="8"/>
  <c r="P27" i="8"/>
  <c r="N27" i="8"/>
  <c r="P26" i="8"/>
  <c r="N26" i="8"/>
  <c r="P24" i="8"/>
  <c r="N24" i="8"/>
  <c r="P23" i="8"/>
  <c r="N23" i="8"/>
  <c r="P21" i="8"/>
  <c r="N21" i="8"/>
  <c r="P20" i="8"/>
  <c r="N20" i="8"/>
  <c r="P19" i="8"/>
  <c r="N19" i="8"/>
  <c r="Q18" i="8"/>
  <c r="P18" i="8"/>
  <c r="N18" i="8"/>
  <c r="Q66" i="8"/>
  <c r="P66" i="8"/>
  <c r="H66" i="8"/>
  <c r="G66" i="8"/>
  <c r="G53" i="8"/>
  <c r="E53" i="8"/>
  <c r="G52" i="8"/>
  <c r="E52" i="8"/>
  <c r="G51" i="8"/>
  <c r="F51" i="8"/>
  <c r="E51" i="8"/>
  <c r="G50" i="8"/>
  <c r="F50" i="8"/>
  <c r="E50" i="8"/>
  <c r="G49" i="8"/>
  <c r="F49" i="8"/>
  <c r="E49" i="8"/>
  <c r="G48" i="8"/>
  <c r="F48" i="8"/>
  <c r="E48" i="8"/>
  <c r="H47" i="8"/>
  <c r="G47" i="8"/>
  <c r="E47" i="8"/>
  <c r="H46" i="8"/>
  <c r="G46" i="8"/>
  <c r="E46" i="8"/>
  <c r="H45" i="8"/>
  <c r="G45" i="8"/>
  <c r="F45" i="8"/>
  <c r="E45" i="8"/>
  <c r="H44" i="8"/>
  <c r="G44" i="8"/>
  <c r="F44" i="8"/>
  <c r="E44" i="8"/>
  <c r="H43" i="8"/>
  <c r="G43" i="8"/>
  <c r="F43" i="8"/>
  <c r="E43" i="8"/>
  <c r="G40" i="8"/>
  <c r="E40" i="8"/>
  <c r="G39" i="8"/>
  <c r="E39" i="8"/>
  <c r="G38" i="8"/>
  <c r="E38" i="8"/>
  <c r="G37" i="8"/>
  <c r="E37" i="8"/>
  <c r="G36" i="8"/>
  <c r="E36" i="8"/>
  <c r="G35" i="8"/>
  <c r="E35" i="8"/>
  <c r="G34" i="8"/>
  <c r="F34" i="8"/>
  <c r="E34" i="8"/>
  <c r="G32" i="8"/>
  <c r="E32" i="8"/>
  <c r="G31" i="8"/>
  <c r="E31" i="8"/>
  <c r="G30" i="8"/>
  <c r="E30" i="8"/>
  <c r="G29" i="8"/>
  <c r="E29" i="8"/>
  <c r="G27" i="8"/>
  <c r="E27" i="8"/>
  <c r="G26" i="8"/>
  <c r="E26" i="8"/>
  <c r="G24" i="8"/>
  <c r="E24" i="8"/>
  <c r="G23" i="8"/>
  <c r="E23" i="8"/>
  <c r="G21" i="8"/>
  <c r="E21" i="8"/>
  <c r="G20" i="8"/>
  <c r="E20" i="8"/>
  <c r="G19" i="8"/>
  <c r="E19" i="8"/>
  <c r="H18" i="8"/>
  <c r="G18" i="8"/>
  <c r="E18" i="8"/>
  <c r="U831" i="8" l="1"/>
  <c r="U755" i="8"/>
  <c r="U679" i="8"/>
  <c r="U603" i="8"/>
  <c r="U527" i="8"/>
  <c r="U451" i="8"/>
  <c r="U375" i="8"/>
  <c r="U299" i="8"/>
  <c r="U223" i="8"/>
  <c r="U147" i="8"/>
  <c r="AX64" i="5" l="1"/>
  <c r="AW64" i="5"/>
  <c r="AT64" i="5"/>
  <c r="AS64" i="5"/>
  <c r="AP64" i="5"/>
  <c r="AO64" i="5"/>
  <c r="AL64" i="5"/>
  <c r="AK76" i="5"/>
  <c r="AH64" i="5"/>
  <c r="AG64" i="5"/>
  <c r="AD64" i="5"/>
  <c r="AC76" i="5"/>
  <c r="Z64" i="5"/>
  <c r="Y64" i="5"/>
  <c r="V64" i="5"/>
  <c r="U76" i="5"/>
  <c r="R64" i="5"/>
  <c r="Q64" i="5"/>
  <c r="Q798" i="6"/>
  <c r="Q797" i="6"/>
  <c r="Q797" i="8" s="1"/>
  <c r="O798" i="6"/>
  <c r="O797" i="6"/>
  <c r="O797" i="8" s="1"/>
  <c r="Q722" i="6"/>
  <c r="Q721" i="6"/>
  <c r="O722" i="6"/>
  <c r="O721" i="6"/>
  <c r="O721" i="8" s="1"/>
  <c r="Q646" i="6"/>
  <c r="AA646" i="6" s="1"/>
  <c r="Q645" i="6"/>
  <c r="O646" i="6"/>
  <c r="X646" i="6" s="1"/>
  <c r="O645" i="6"/>
  <c r="Q570" i="6"/>
  <c r="Q569" i="6"/>
  <c r="Q569" i="8" s="1"/>
  <c r="O570" i="6"/>
  <c r="O569" i="6"/>
  <c r="O569" i="8" s="1"/>
  <c r="Q494" i="6"/>
  <c r="Q493" i="6"/>
  <c r="Q493" i="8" s="1"/>
  <c r="O494" i="6"/>
  <c r="O493" i="6"/>
  <c r="O493" i="8" s="1"/>
  <c r="Q418" i="6"/>
  <c r="Q417" i="6"/>
  <c r="Q417" i="8" s="1"/>
  <c r="O418" i="6"/>
  <c r="O417" i="6"/>
  <c r="O417" i="8" s="1"/>
  <c r="Q342" i="6"/>
  <c r="Q341" i="6"/>
  <c r="O342" i="6"/>
  <c r="O341" i="6"/>
  <c r="Q266" i="6"/>
  <c r="Q265" i="6"/>
  <c r="Q265" i="8" s="1"/>
  <c r="O266" i="6"/>
  <c r="O265" i="6"/>
  <c r="O265" i="8" s="1"/>
  <c r="Q190" i="6"/>
  <c r="O190" i="6"/>
  <c r="Q721" i="8" l="1"/>
  <c r="Q645" i="8"/>
  <c r="AA645" i="6"/>
  <c r="O645" i="8"/>
  <c r="X645" i="6"/>
  <c r="AD76" i="5"/>
  <c r="O189" i="6"/>
  <c r="O189" i="8" s="1"/>
  <c r="Q189" i="6"/>
  <c r="Q189" i="8" s="1"/>
  <c r="AS76" i="5"/>
  <c r="AC64" i="5"/>
  <c r="AL76" i="5"/>
  <c r="R76" i="5"/>
  <c r="Z76" i="5"/>
  <c r="AT76" i="5"/>
  <c r="AH76" i="5"/>
  <c r="AO76" i="5"/>
  <c r="AW76" i="5"/>
  <c r="AP76" i="5"/>
  <c r="AX76" i="5"/>
  <c r="Y76" i="5"/>
  <c r="U64" i="5"/>
  <c r="V76" i="5"/>
  <c r="AG76" i="5"/>
  <c r="AK64" i="5"/>
  <c r="Q76" i="5"/>
  <c r="X45" i="6" l="1"/>
  <c r="X45" i="8" s="1"/>
  <c r="AA45" i="6" l="1"/>
  <c r="AA45" i="8" s="1"/>
  <c r="AA44" i="6"/>
  <c r="AA44" i="8" s="1"/>
  <c r="X44" i="6"/>
  <c r="X44" i="8" s="1"/>
  <c r="AA43" i="6"/>
  <c r="AA43" i="8" s="1"/>
  <c r="X43" i="6"/>
  <c r="X43" i="8" s="1"/>
  <c r="Q714" i="6" l="1"/>
  <c r="Q486" i="6"/>
  <c r="Q486" i="8" s="1"/>
  <c r="Q714" i="8" l="1"/>
  <c r="H23" i="1"/>
  <c r="H20" i="1"/>
  <c r="D7" i="1" l="1"/>
  <c r="D6" i="1"/>
  <c r="AX67" i="5" l="1"/>
  <c r="AX69" i="5"/>
  <c r="AX72" i="5"/>
  <c r="AW67" i="5"/>
  <c r="AW69" i="5"/>
  <c r="AW72" i="5"/>
  <c r="AT67" i="5"/>
  <c r="AT69" i="5"/>
  <c r="AT72" i="5"/>
  <c r="AS67" i="5"/>
  <c r="AS69" i="5"/>
  <c r="AS72" i="5"/>
  <c r="AP67" i="5"/>
  <c r="AP69" i="5"/>
  <c r="AP72" i="5"/>
  <c r="AO67" i="5"/>
  <c r="AO69" i="5"/>
  <c r="AO72" i="5"/>
  <c r="AL67" i="5"/>
  <c r="AL69" i="5"/>
  <c r="AL72" i="5"/>
  <c r="AK67" i="5"/>
  <c r="AK69" i="5"/>
  <c r="AK72" i="5"/>
  <c r="AH67" i="5"/>
  <c r="AH69" i="5"/>
  <c r="AH72" i="5"/>
  <c r="AG67" i="5"/>
  <c r="AG69" i="5"/>
  <c r="AG72" i="5"/>
  <c r="AD67" i="5"/>
  <c r="AD69" i="5"/>
  <c r="AD72" i="5"/>
  <c r="AC67" i="5"/>
  <c r="AC69" i="5"/>
  <c r="AC72" i="5"/>
  <c r="Z67" i="5"/>
  <c r="Z69" i="5"/>
  <c r="Z72" i="5"/>
  <c r="Y67" i="5"/>
  <c r="Y69" i="5"/>
  <c r="Y72" i="5"/>
  <c r="V67" i="5"/>
  <c r="V69" i="5"/>
  <c r="V72" i="5"/>
  <c r="U67" i="5"/>
  <c r="U69" i="5"/>
  <c r="U72" i="5"/>
  <c r="R67" i="5"/>
  <c r="R69" i="5"/>
  <c r="R72" i="5"/>
  <c r="Q67" i="5"/>
  <c r="Q69" i="5"/>
  <c r="Q72" i="5"/>
  <c r="Q813" i="6"/>
  <c r="Q813" i="8" s="1"/>
  <c r="Q812" i="6"/>
  <c r="Q812" i="8" s="1"/>
  <c r="Q811" i="6"/>
  <c r="Q811" i="8" s="1"/>
  <c r="Q810" i="6"/>
  <c r="Q810" i="8" s="1"/>
  <c r="Q809" i="6"/>
  <c r="Q809" i="8" s="1"/>
  <c r="Q808" i="6"/>
  <c r="O813" i="6"/>
  <c r="O813" i="8" s="1"/>
  <c r="O812" i="6"/>
  <c r="O812" i="8" s="1"/>
  <c r="O807" i="6"/>
  <c r="O807" i="8" s="1"/>
  <c r="O806" i="6"/>
  <c r="Q794" i="6"/>
  <c r="Q794" i="8" s="1"/>
  <c r="Q789" i="6"/>
  <c r="Q789" i="8" s="1"/>
  <c r="O789" i="6"/>
  <c r="O789" i="8" s="1"/>
  <c r="O779" i="6"/>
  <c r="O779" i="8" s="1"/>
  <c r="Q779" i="6"/>
  <c r="Q779" i="8" s="1"/>
  <c r="O778" i="6"/>
  <c r="O778" i="8" s="1"/>
  <c r="AH796" i="6"/>
  <c r="AG796" i="6"/>
  <c r="Z793" i="6"/>
  <c r="Z793" i="8" s="1"/>
  <c r="W793" i="6"/>
  <c r="W793" i="8" s="1"/>
  <c r="P793" i="6"/>
  <c r="P793" i="8" s="1"/>
  <c r="N793" i="6"/>
  <c r="N793" i="8" s="1"/>
  <c r="G793" i="6"/>
  <c r="G793" i="8" s="1"/>
  <c r="E793" i="6"/>
  <c r="E793" i="8" s="1"/>
  <c r="P788" i="6"/>
  <c r="P788" i="8" s="1"/>
  <c r="N788" i="6"/>
  <c r="N788" i="8" s="1"/>
  <c r="G788" i="6"/>
  <c r="G788" i="8" s="1"/>
  <c r="E788" i="6"/>
  <c r="E788" i="8" s="1"/>
  <c r="Z785" i="6"/>
  <c r="Z785" i="8" s="1"/>
  <c r="W785" i="6"/>
  <c r="W785" i="8" s="1"/>
  <c r="P785" i="6"/>
  <c r="P785" i="8" s="1"/>
  <c r="N785" i="6"/>
  <c r="N785" i="8" s="1"/>
  <c r="G785" i="6"/>
  <c r="G785" i="8" s="1"/>
  <c r="E785" i="6"/>
  <c r="E785" i="8" s="1"/>
  <c r="Z782" i="6"/>
  <c r="Z782" i="8" s="1"/>
  <c r="W782" i="6"/>
  <c r="W782" i="8" s="1"/>
  <c r="P782" i="6"/>
  <c r="P782" i="8" s="1"/>
  <c r="N782" i="6"/>
  <c r="N782" i="8" s="1"/>
  <c r="G782" i="6"/>
  <c r="G782" i="8" s="1"/>
  <c r="E782" i="6"/>
  <c r="E782" i="8" s="1"/>
  <c r="Z777" i="6"/>
  <c r="Z777" i="8" s="1"/>
  <c r="W777" i="6"/>
  <c r="W777" i="8" s="1"/>
  <c r="P777" i="6"/>
  <c r="P777" i="8" s="1"/>
  <c r="N777" i="6"/>
  <c r="N777" i="8" s="1"/>
  <c r="G777" i="6"/>
  <c r="G777" i="8" s="1"/>
  <c r="E777" i="6"/>
  <c r="E777" i="8" s="1"/>
  <c r="Q737" i="6"/>
  <c r="Q736" i="6"/>
  <c r="Q735" i="6"/>
  <c r="Q734" i="6"/>
  <c r="Q733" i="6"/>
  <c r="O737" i="6"/>
  <c r="O737" i="8" s="1"/>
  <c r="O736" i="6"/>
  <c r="O736" i="8" s="1"/>
  <c r="O731" i="6"/>
  <c r="O731" i="8" s="1"/>
  <c r="Q732" i="6"/>
  <c r="O730" i="6"/>
  <c r="Q718" i="6"/>
  <c r="Q713" i="6"/>
  <c r="O713" i="6"/>
  <c r="O713" i="8" s="1"/>
  <c r="O703" i="6"/>
  <c r="O703" i="8" s="1"/>
  <c r="Q703" i="6"/>
  <c r="O702" i="6"/>
  <c r="O702" i="8" s="1"/>
  <c r="AH720" i="6"/>
  <c r="AG720" i="6"/>
  <c r="Z717" i="6"/>
  <c r="Z717" i="8" s="1"/>
  <c r="W717" i="6"/>
  <c r="W717" i="8" s="1"/>
  <c r="P717" i="6"/>
  <c r="P717" i="8" s="1"/>
  <c r="N717" i="6"/>
  <c r="N717" i="8" s="1"/>
  <c r="G717" i="6"/>
  <c r="G717" i="8" s="1"/>
  <c r="E717" i="6"/>
  <c r="E717" i="8" s="1"/>
  <c r="P712" i="6"/>
  <c r="P712" i="8" s="1"/>
  <c r="N712" i="6"/>
  <c r="N712" i="8" s="1"/>
  <c r="G712" i="6"/>
  <c r="G712" i="8" s="1"/>
  <c r="E712" i="6"/>
  <c r="E712" i="8" s="1"/>
  <c r="Z709" i="6"/>
  <c r="Z709" i="8" s="1"/>
  <c r="W709" i="6"/>
  <c r="W709" i="8" s="1"/>
  <c r="P709" i="6"/>
  <c r="P709" i="8" s="1"/>
  <c r="N709" i="6"/>
  <c r="N709" i="8" s="1"/>
  <c r="G709" i="6"/>
  <c r="G709" i="8" s="1"/>
  <c r="E709" i="6"/>
  <c r="E709" i="8" s="1"/>
  <c r="Z706" i="6"/>
  <c r="Z706" i="8" s="1"/>
  <c r="W706" i="6"/>
  <c r="W706" i="8" s="1"/>
  <c r="P706" i="6"/>
  <c r="P706" i="8" s="1"/>
  <c r="N706" i="6"/>
  <c r="N706" i="8" s="1"/>
  <c r="G706" i="6"/>
  <c r="G706" i="8" s="1"/>
  <c r="E706" i="6"/>
  <c r="E706" i="8" s="1"/>
  <c r="Z701" i="6"/>
  <c r="Z701" i="8" s="1"/>
  <c r="W701" i="6"/>
  <c r="W701" i="8" s="1"/>
  <c r="P701" i="6"/>
  <c r="P701" i="8" s="1"/>
  <c r="N701" i="6"/>
  <c r="N701" i="8" s="1"/>
  <c r="G701" i="6"/>
  <c r="G701" i="8" s="1"/>
  <c r="E701" i="6"/>
  <c r="E701" i="8" s="1"/>
  <c r="Q661" i="6"/>
  <c r="Q660" i="6"/>
  <c r="Q659" i="6"/>
  <c r="Q658" i="6"/>
  <c r="Q657" i="6"/>
  <c r="O661" i="6"/>
  <c r="O660" i="6"/>
  <c r="O655" i="6"/>
  <c r="Q656" i="6"/>
  <c r="AA656" i="6" s="1"/>
  <c r="O654" i="6"/>
  <c r="X654" i="6" s="1"/>
  <c r="Q642" i="6"/>
  <c r="Q637" i="6"/>
  <c r="O637" i="6"/>
  <c r="O627" i="6"/>
  <c r="Q627" i="6"/>
  <c r="O626" i="6"/>
  <c r="AH644" i="6"/>
  <c r="AG644" i="6"/>
  <c r="Z641" i="6"/>
  <c r="Z641" i="8" s="1"/>
  <c r="W641" i="6"/>
  <c r="W641" i="8" s="1"/>
  <c r="P641" i="6"/>
  <c r="P641" i="8" s="1"/>
  <c r="N641" i="6"/>
  <c r="N641" i="8" s="1"/>
  <c r="G641" i="6"/>
  <c r="G641" i="8" s="1"/>
  <c r="E641" i="6"/>
  <c r="E641" i="8" s="1"/>
  <c r="P636" i="6"/>
  <c r="P636" i="8" s="1"/>
  <c r="N636" i="6"/>
  <c r="N636" i="8" s="1"/>
  <c r="G636" i="6"/>
  <c r="G636" i="8" s="1"/>
  <c r="E636" i="6"/>
  <c r="E636" i="8" s="1"/>
  <c r="Z633" i="6"/>
  <c r="Z633" i="8" s="1"/>
  <c r="W633" i="6"/>
  <c r="W633" i="8" s="1"/>
  <c r="P633" i="6"/>
  <c r="P633" i="8" s="1"/>
  <c r="N633" i="6"/>
  <c r="N633" i="8" s="1"/>
  <c r="G633" i="6"/>
  <c r="G633" i="8" s="1"/>
  <c r="E633" i="6"/>
  <c r="E633" i="8" s="1"/>
  <c r="Z630" i="6"/>
  <c r="Z630" i="8" s="1"/>
  <c r="W630" i="6"/>
  <c r="W630" i="8" s="1"/>
  <c r="P630" i="6"/>
  <c r="P630" i="8" s="1"/>
  <c r="N630" i="6"/>
  <c r="N630" i="8" s="1"/>
  <c r="G630" i="6"/>
  <c r="G630" i="8" s="1"/>
  <c r="E630" i="6"/>
  <c r="Z625" i="6"/>
  <c r="Z625" i="8" s="1"/>
  <c r="W625" i="6"/>
  <c r="W625" i="8" s="1"/>
  <c r="P625" i="6"/>
  <c r="P625" i="8" s="1"/>
  <c r="N625" i="6"/>
  <c r="G625" i="6"/>
  <c r="G625" i="8" s="1"/>
  <c r="E625" i="6"/>
  <c r="E625" i="8" s="1"/>
  <c r="Q585" i="6"/>
  <c r="Q585" i="8" s="1"/>
  <c r="Q584" i="6"/>
  <c r="Q584" i="8" s="1"/>
  <c r="Q583" i="6"/>
  <c r="Q583" i="8" s="1"/>
  <c r="Q582" i="6"/>
  <c r="Q582" i="8" s="1"/>
  <c r="Q581" i="6"/>
  <c r="Q581" i="8" s="1"/>
  <c r="Q580" i="6"/>
  <c r="O585" i="6"/>
  <c r="O585" i="8" s="1"/>
  <c r="O584" i="6"/>
  <c r="O584" i="8" s="1"/>
  <c r="O579" i="6"/>
  <c r="O579" i="8" s="1"/>
  <c r="O578" i="6"/>
  <c r="Q566" i="6"/>
  <c r="Q566" i="8" s="1"/>
  <c r="Q561" i="6"/>
  <c r="Q561" i="8" s="1"/>
  <c r="O561" i="6"/>
  <c r="O561" i="8" s="1"/>
  <c r="O551" i="6"/>
  <c r="O551" i="8" s="1"/>
  <c r="Q551" i="6"/>
  <c r="Q551" i="8" s="1"/>
  <c r="O550" i="6"/>
  <c r="O550" i="8" s="1"/>
  <c r="AH568" i="6"/>
  <c r="AG568" i="6"/>
  <c r="Z565" i="6"/>
  <c r="Z565" i="8" s="1"/>
  <c r="W565" i="6"/>
  <c r="W565" i="8" s="1"/>
  <c r="P565" i="6"/>
  <c r="P565" i="8" s="1"/>
  <c r="N565" i="6"/>
  <c r="N565" i="8" s="1"/>
  <c r="G565" i="6"/>
  <c r="G565" i="8" s="1"/>
  <c r="E565" i="6"/>
  <c r="E565" i="8" s="1"/>
  <c r="P560" i="6"/>
  <c r="P560" i="8" s="1"/>
  <c r="N560" i="6"/>
  <c r="N560" i="8" s="1"/>
  <c r="G560" i="6"/>
  <c r="G560" i="8" s="1"/>
  <c r="E560" i="6"/>
  <c r="E560" i="8" s="1"/>
  <c r="Z557" i="6"/>
  <c r="Z557" i="8" s="1"/>
  <c r="W557" i="6"/>
  <c r="W557" i="8" s="1"/>
  <c r="P557" i="6"/>
  <c r="P557" i="8" s="1"/>
  <c r="N557" i="6"/>
  <c r="N557" i="8" s="1"/>
  <c r="G557" i="6"/>
  <c r="G557" i="8" s="1"/>
  <c r="E557" i="6"/>
  <c r="E557" i="8" s="1"/>
  <c r="Z554" i="6"/>
  <c r="Z554" i="8" s="1"/>
  <c r="W554" i="6"/>
  <c r="W554" i="8" s="1"/>
  <c r="P554" i="6"/>
  <c r="P554" i="8" s="1"/>
  <c r="N554" i="6"/>
  <c r="N554" i="8" s="1"/>
  <c r="G554" i="6"/>
  <c r="G554" i="8" s="1"/>
  <c r="E554" i="6"/>
  <c r="E554" i="8" s="1"/>
  <c r="Z549" i="6"/>
  <c r="Z549" i="8" s="1"/>
  <c r="W549" i="6"/>
  <c r="W549" i="8" s="1"/>
  <c r="P549" i="6"/>
  <c r="P549" i="8" s="1"/>
  <c r="N549" i="6"/>
  <c r="N549" i="8" s="1"/>
  <c r="G549" i="6"/>
  <c r="G549" i="8" s="1"/>
  <c r="E549" i="6"/>
  <c r="E549" i="8" s="1"/>
  <c r="Q509" i="6"/>
  <c r="Q509" i="8" s="1"/>
  <c r="Q508" i="6"/>
  <c r="Q508" i="8" s="1"/>
  <c r="Q507" i="6"/>
  <c r="Q507" i="8" s="1"/>
  <c r="Q506" i="6"/>
  <c r="Q506" i="8" s="1"/>
  <c r="Q505" i="6"/>
  <c r="Q505" i="8" s="1"/>
  <c r="O509" i="6"/>
  <c r="O509" i="8" s="1"/>
  <c r="O508" i="6"/>
  <c r="O508" i="8" s="1"/>
  <c r="O503" i="6"/>
  <c r="O503" i="8" s="1"/>
  <c r="Q504" i="6"/>
  <c r="O502" i="6"/>
  <c r="Q490" i="6"/>
  <c r="Q490" i="8" s="1"/>
  <c r="Q485" i="6"/>
  <c r="Q485" i="8" s="1"/>
  <c r="O485" i="6"/>
  <c r="O485" i="8" s="1"/>
  <c r="O475" i="6"/>
  <c r="O475" i="8" s="1"/>
  <c r="Q475" i="6"/>
  <c r="Q475" i="8" s="1"/>
  <c r="O474" i="6"/>
  <c r="O474" i="8" s="1"/>
  <c r="AH492" i="6"/>
  <c r="AG492" i="6"/>
  <c r="Z489" i="6"/>
  <c r="Z489" i="8" s="1"/>
  <c r="W489" i="6"/>
  <c r="W489" i="8" s="1"/>
  <c r="P489" i="6"/>
  <c r="P489" i="8" s="1"/>
  <c r="N489" i="6"/>
  <c r="N489" i="8" s="1"/>
  <c r="G489" i="6"/>
  <c r="G489" i="8" s="1"/>
  <c r="E489" i="6"/>
  <c r="E489" i="8" s="1"/>
  <c r="P484" i="6"/>
  <c r="P484" i="8" s="1"/>
  <c r="N484" i="6"/>
  <c r="N484" i="8" s="1"/>
  <c r="G484" i="6"/>
  <c r="G484" i="8" s="1"/>
  <c r="E484" i="6"/>
  <c r="E484" i="8" s="1"/>
  <c r="Z481" i="6"/>
  <c r="Z481" i="8" s="1"/>
  <c r="W481" i="6"/>
  <c r="W481" i="8" s="1"/>
  <c r="P481" i="6"/>
  <c r="P481" i="8" s="1"/>
  <c r="N481" i="6"/>
  <c r="N481" i="8" s="1"/>
  <c r="G481" i="6"/>
  <c r="G481" i="8" s="1"/>
  <c r="E481" i="6"/>
  <c r="E481" i="8" s="1"/>
  <c r="Z478" i="6"/>
  <c r="Z478" i="8" s="1"/>
  <c r="W478" i="6"/>
  <c r="W478" i="8" s="1"/>
  <c r="P478" i="6"/>
  <c r="P478" i="8" s="1"/>
  <c r="N478" i="6"/>
  <c r="N478" i="8" s="1"/>
  <c r="G478" i="6"/>
  <c r="G478" i="8" s="1"/>
  <c r="E478" i="6"/>
  <c r="E478" i="8" s="1"/>
  <c r="Z473" i="6"/>
  <c r="Z473" i="8" s="1"/>
  <c r="W473" i="6"/>
  <c r="W473" i="8" s="1"/>
  <c r="P473" i="6"/>
  <c r="P473" i="8" s="1"/>
  <c r="N473" i="6"/>
  <c r="N473" i="8" s="1"/>
  <c r="G473" i="6"/>
  <c r="G473" i="8" s="1"/>
  <c r="E473" i="6"/>
  <c r="E473" i="8" s="1"/>
  <c r="Q433" i="6"/>
  <c r="Q433" i="8" s="1"/>
  <c r="Q432" i="6"/>
  <c r="Q432" i="8" s="1"/>
  <c r="Q431" i="6"/>
  <c r="Q431" i="8" s="1"/>
  <c r="Q430" i="6"/>
  <c r="Q430" i="8" s="1"/>
  <c r="Q429" i="6"/>
  <c r="Q429" i="8" s="1"/>
  <c r="Q428" i="6"/>
  <c r="O433" i="6"/>
  <c r="O433" i="8" s="1"/>
  <c r="O432" i="6"/>
  <c r="O432" i="8" s="1"/>
  <c r="O427" i="6"/>
  <c r="O427" i="8" s="1"/>
  <c r="O426" i="6"/>
  <c r="Q414" i="6"/>
  <c r="Q414" i="8" s="1"/>
  <c r="Q409" i="6"/>
  <c r="Q409" i="8" s="1"/>
  <c r="O409" i="6"/>
  <c r="O409" i="8" s="1"/>
  <c r="O399" i="6"/>
  <c r="O399" i="8" s="1"/>
  <c r="Q399" i="6"/>
  <c r="Q399" i="8" s="1"/>
  <c r="O398" i="6"/>
  <c r="O398" i="8" s="1"/>
  <c r="AH416" i="6"/>
  <c r="AG416" i="6"/>
  <c r="Z413" i="6"/>
  <c r="Z413" i="8" s="1"/>
  <c r="W413" i="6"/>
  <c r="W413" i="8" s="1"/>
  <c r="P413" i="6"/>
  <c r="P413" i="8" s="1"/>
  <c r="N413" i="6"/>
  <c r="N413" i="8" s="1"/>
  <c r="G413" i="6"/>
  <c r="G413" i="8" s="1"/>
  <c r="E413" i="6"/>
  <c r="E413" i="8" s="1"/>
  <c r="P408" i="6"/>
  <c r="P408" i="8" s="1"/>
  <c r="N408" i="6"/>
  <c r="N408" i="8" s="1"/>
  <c r="G408" i="6"/>
  <c r="G408" i="8" s="1"/>
  <c r="E408" i="6"/>
  <c r="E408" i="8" s="1"/>
  <c r="Z405" i="6"/>
  <c r="Z405" i="8" s="1"/>
  <c r="W405" i="6"/>
  <c r="W405" i="8" s="1"/>
  <c r="P405" i="6"/>
  <c r="P405" i="8" s="1"/>
  <c r="N405" i="6"/>
  <c r="N405" i="8" s="1"/>
  <c r="G405" i="6"/>
  <c r="G405" i="8" s="1"/>
  <c r="E405" i="6"/>
  <c r="E405" i="8" s="1"/>
  <c r="Z402" i="6"/>
  <c r="Z402" i="8" s="1"/>
  <c r="W402" i="6"/>
  <c r="W402" i="8" s="1"/>
  <c r="P402" i="6"/>
  <c r="P402" i="8" s="1"/>
  <c r="N402" i="6"/>
  <c r="N402" i="8" s="1"/>
  <c r="G402" i="6"/>
  <c r="G402" i="8" s="1"/>
  <c r="E402" i="6"/>
  <c r="E402" i="8" s="1"/>
  <c r="Z397" i="6"/>
  <c r="Z397" i="8" s="1"/>
  <c r="W397" i="6"/>
  <c r="W397" i="8" s="1"/>
  <c r="P397" i="6"/>
  <c r="P397" i="8" s="1"/>
  <c r="N397" i="6"/>
  <c r="N397" i="8" s="1"/>
  <c r="G397" i="6"/>
  <c r="G397" i="8" s="1"/>
  <c r="E397" i="6"/>
  <c r="E397" i="8" s="1"/>
  <c r="Q357" i="6"/>
  <c r="Q357" i="8" s="1"/>
  <c r="Q356" i="6"/>
  <c r="Q356" i="8" s="1"/>
  <c r="Q355" i="6"/>
  <c r="Q355" i="8" s="1"/>
  <c r="Q354" i="6"/>
  <c r="Q354" i="8" s="1"/>
  <c r="Q353" i="6"/>
  <c r="Q353" i="8" s="1"/>
  <c r="Q352" i="6"/>
  <c r="O357" i="6"/>
  <c r="O357" i="8" s="1"/>
  <c r="O356" i="6"/>
  <c r="O356" i="8" s="1"/>
  <c r="O351" i="6"/>
  <c r="O351" i="8" s="1"/>
  <c r="Q338" i="6"/>
  <c r="Q338" i="8" s="1"/>
  <c r="Q333" i="6"/>
  <c r="Q333" i="8" s="1"/>
  <c r="Q323" i="6"/>
  <c r="Q323" i="8" s="1"/>
  <c r="O350" i="6"/>
  <c r="O333" i="6"/>
  <c r="O333" i="8" s="1"/>
  <c r="O323" i="6"/>
  <c r="O323" i="8" s="1"/>
  <c r="O322" i="6"/>
  <c r="O322" i="8" s="1"/>
  <c r="AH340" i="6"/>
  <c r="AG340" i="6"/>
  <c r="Z337" i="6"/>
  <c r="Z337" i="8" s="1"/>
  <c r="W337" i="6"/>
  <c r="W337" i="8" s="1"/>
  <c r="P337" i="6"/>
  <c r="P337" i="8" s="1"/>
  <c r="N337" i="6"/>
  <c r="N337" i="8" s="1"/>
  <c r="G337" i="6"/>
  <c r="G337" i="8" s="1"/>
  <c r="E337" i="6"/>
  <c r="E337" i="8" s="1"/>
  <c r="P332" i="6"/>
  <c r="P332" i="8" s="1"/>
  <c r="N332" i="6"/>
  <c r="N332" i="8" s="1"/>
  <c r="G332" i="6"/>
  <c r="G332" i="8" s="1"/>
  <c r="E332" i="6"/>
  <c r="E332" i="8" s="1"/>
  <c r="Z329" i="6"/>
  <c r="Z329" i="8" s="1"/>
  <c r="W329" i="6"/>
  <c r="W329" i="8" s="1"/>
  <c r="P329" i="6"/>
  <c r="P329" i="8" s="1"/>
  <c r="N329" i="6"/>
  <c r="N329" i="8" s="1"/>
  <c r="G329" i="6"/>
  <c r="G329" i="8" s="1"/>
  <c r="E329" i="6"/>
  <c r="E329" i="8" s="1"/>
  <c r="Z326" i="6"/>
  <c r="Z326" i="8" s="1"/>
  <c r="W326" i="6"/>
  <c r="W326" i="8" s="1"/>
  <c r="P326" i="6"/>
  <c r="P326" i="8" s="1"/>
  <c r="N326" i="6"/>
  <c r="N326" i="8" s="1"/>
  <c r="G326" i="6"/>
  <c r="G326" i="8" s="1"/>
  <c r="E326" i="6"/>
  <c r="E326" i="8" s="1"/>
  <c r="Z321" i="6"/>
  <c r="Z321" i="8" s="1"/>
  <c r="W321" i="6"/>
  <c r="W321" i="8" s="1"/>
  <c r="P321" i="6"/>
  <c r="P321" i="8" s="1"/>
  <c r="N321" i="6"/>
  <c r="N321" i="8" s="1"/>
  <c r="G321" i="6"/>
  <c r="G321" i="8" s="1"/>
  <c r="E321" i="6"/>
  <c r="E321" i="8" s="1"/>
  <c r="Q281" i="6"/>
  <c r="Q281" i="8" s="1"/>
  <c r="Q280" i="6"/>
  <c r="Q280" i="8" s="1"/>
  <c r="Q279" i="6"/>
  <c r="Q279" i="8" s="1"/>
  <c r="Q278" i="6"/>
  <c r="Q278" i="8" s="1"/>
  <c r="Q277" i="6"/>
  <c r="Q277" i="8" s="1"/>
  <c r="O281" i="6"/>
  <c r="O281" i="8" s="1"/>
  <c r="O280" i="6"/>
  <c r="O280" i="8" s="1"/>
  <c r="O275" i="6"/>
  <c r="O275" i="8" s="1"/>
  <c r="O274" i="6"/>
  <c r="Q276" i="6"/>
  <c r="Q262" i="6"/>
  <c r="Q262" i="8" s="1"/>
  <c r="Q257" i="6"/>
  <c r="Q257" i="8" s="1"/>
  <c r="O257" i="6"/>
  <c r="O257" i="8" s="1"/>
  <c r="O247" i="6"/>
  <c r="O247" i="8" s="1"/>
  <c r="Q186" i="6"/>
  <c r="Q186" i="8" s="1"/>
  <c r="Q181" i="6"/>
  <c r="Q181" i="8" s="1"/>
  <c r="Q171" i="6"/>
  <c r="Q171" i="8" s="1"/>
  <c r="Q247" i="6"/>
  <c r="Q247" i="8" s="1"/>
  <c r="O246" i="6"/>
  <c r="O246" i="8" s="1"/>
  <c r="AH264" i="6"/>
  <c r="AG264" i="6"/>
  <c r="Z261" i="6"/>
  <c r="Z261" i="8" s="1"/>
  <c r="W261" i="6"/>
  <c r="W261" i="8" s="1"/>
  <c r="P261" i="6"/>
  <c r="P261" i="8" s="1"/>
  <c r="N261" i="6"/>
  <c r="N261" i="8" s="1"/>
  <c r="G261" i="6"/>
  <c r="G261" i="8" s="1"/>
  <c r="E261" i="6"/>
  <c r="E261" i="8" s="1"/>
  <c r="P256" i="6"/>
  <c r="P256" i="8" s="1"/>
  <c r="N256" i="6"/>
  <c r="N256" i="8" s="1"/>
  <c r="G256" i="6"/>
  <c r="G256" i="8" s="1"/>
  <c r="E256" i="6"/>
  <c r="E256" i="8" s="1"/>
  <c r="Z253" i="6"/>
  <c r="Z253" i="8" s="1"/>
  <c r="W253" i="6"/>
  <c r="W253" i="8" s="1"/>
  <c r="P253" i="6"/>
  <c r="P253" i="8" s="1"/>
  <c r="N253" i="6"/>
  <c r="N253" i="8" s="1"/>
  <c r="G253" i="6"/>
  <c r="G253" i="8" s="1"/>
  <c r="E253" i="6"/>
  <c r="E253" i="8" s="1"/>
  <c r="Z250" i="6"/>
  <c r="Z250" i="8" s="1"/>
  <c r="W250" i="6"/>
  <c r="W250" i="8" s="1"/>
  <c r="P250" i="6"/>
  <c r="P250" i="8" s="1"/>
  <c r="N250" i="6"/>
  <c r="N250" i="8" s="1"/>
  <c r="G250" i="6"/>
  <c r="G250" i="8" s="1"/>
  <c r="E250" i="6"/>
  <c r="E250" i="8" s="1"/>
  <c r="Z245" i="6"/>
  <c r="Z245" i="8" s="1"/>
  <c r="W245" i="6"/>
  <c r="W245" i="8" s="1"/>
  <c r="P245" i="6"/>
  <c r="P245" i="8" s="1"/>
  <c r="N245" i="6"/>
  <c r="G245" i="6"/>
  <c r="G245" i="8" s="1"/>
  <c r="E245" i="6"/>
  <c r="E245" i="8" s="1"/>
  <c r="Q201" i="6"/>
  <c r="Q201" i="8" s="1"/>
  <c r="Q202" i="6"/>
  <c r="Q202" i="8" s="1"/>
  <c r="Q203" i="6"/>
  <c r="Q203" i="8" s="1"/>
  <c r="Q204" i="6"/>
  <c r="Q204" i="8" s="1"/>
  <c r="Q205" i="6"/>
  <c r="Q205" i="8" s="1"/>
  <c r="Q200" i="6"/>
  <c r="O205" i="6"/>
  <c r="O205" i="8" s="1"/>
  <c r="O204" i="6"/>
  <c r="O204" i="8" s="1"/>
  <c r="O199" i="6"/>
  <c r="O199" i="8" s="1"/>
  <c r="O198" i="6"/>
  <c r="O181" i="6"/>
  <c r="O181" i="8" s="1"/>
  <c r="O171" i="6"/>
  <c r="O171" i="8" s="1"/>
  <c r="O170" i="6"/>
  <c r="O170" i="8" s="1"/>
  <c r="AH188" i="6"/>
  <c r="AG188" i="6"/>
  <c r="Z185" i="6"/>
  <c r="Z185" i="8" s="1"/>
  <c r="W185" i="6"/>
  <c r="W185" i="8" s="1"/>
  <c r="P185" i="6"/>
  <c r="P185" i="8" s="1"/>
  <c r="N185" i="6"/>
  <c r="N185" i="8" s="1"/>
  <c r="G185" i="6"/>
  <c r="G185" i="8" s="1"/>
  <c r="E185" i="6"/>
  <c r="E185" i="8" s="1"/>
  <c r="P180" i="6"/>
  <c r="P180" i="8" s="1"/>
  <c r="N180" i="6"/>
  <c r="N180" i="8" s="1"/>
  <c r="G180" i="6"/>
  <c r="G180" i="8" s="1"/>
  <c r="E180" i="6"/>
  <c r="E180" i="8" s="1"/>
  <c r="Z177" i="6"/>
  <c r="Z177" i="8" s="1"/>
  <c r="W177" i="6"/>
  <c r="W177" i="8" s="1"/>
  <c r="P177" i="6"/>
  <c r="P177" i="8" s="1"/>
  <c r="N177" i="6"/>
  <c r="N177" i="8" s="1"/>
  <c r="G177" i="6"/>
  <c r="G177" i="8" s="1"/>
  <c r="E177" i="6"/>
  <c r="E177" i="8" s="1"/>
  <c r="Z174" i="6"/>
  <c r="Z174" i="8" s="1"/>
  <c r="W174" i="6"/>
  <c r="W174" i="8" s="1"/>
  <c r="P174" i="6"/>
  <c r="P174" i="8" s="1"/>
  <c r="N174" i="6"/>
  <c r="N174" i="8" s="1"/>
  <c r="G174" i="6"/>
  <c r="G174" i="8" s="1"/>
  <c r="E174" i="6"/>
  <c r="E174" i="8" s="1"/>
  <c r="Z169" i="6"/>
  <c r="Z169" i="8" s="1"/>
  <c r="W169" i="6"/>
  <c r="W169" i="8" s="1"/>
  <c r="P169" i="6"/>
  <c r="P169" i="8" s="1"/>
  <c r="N169" i="6"/>
  <c r="N169" i="8" s="1"/>
  <c r="G169" i="6"/>
  <c r="G169" i="8" s="1"/>
  <c r="E169" i="6"/>
  <c r="E169" i="8" s="1"/>
  <c r="N67" i="5"/>
  <c r="N69" i="5"/>
  <c r="M67" i="5"/>
  <c r="M69" i="5"/>
  <c r="Q734" i="8" l="1"/>
  <c r="Q713" i="8"/>
  <c r="Q703" i="8"/>
  <c r="Q718" i="8"/>
  <c r="Q735" i="8"/>
  <c r="Q736" i="8"/>
  <c r="Q733" i="8"/>
  <c r="Q737" i="8"/>
  <c r="O627" i="8"/>
  <c r="X627" i="6"/>
  <c r="O661" i="8"/>
  <c r="X661" i="6"/>
  <c r="Q660" i="8"/>
  <c r="AA660" i="6"/>
  <c r="Q657" i="8"/>
  <c r="AA657" i="6"/>
  <c r="Q661" i="8"/>
  <c r="AA661" i="6"/>
  <c r="O626" i="8"/>
  <c r="X626" i="6"/>
  <c r="O655" i="8"/>
  <c r="X655" i="6"/>
  <c r="Q658" i="8"/>
  <c r="AA658" i="6"/>
  <c r="Q627" i="8"/>
  <c r="AA627" i="6"/>
  <c r="Q642" i="8"/>
  <c r="AA642" i="6"/>
  <c r="O660" i="8"/>
  <c r="X660" i="6"/>
  <c r="Q659" i="8"/>
  <c r="AA659" i="6"/>
  <c r="O637" i="8"/>
  <c r="X637" i="6"/>
  <c r="Q637" i="8"/>
  <c r="AA637" i="6"/>
  <c r="Q276" i="8"/>
  <c r="Q287" i="6"/>
  <c r="Q297" i="6"/>
  <c r="Q298" i="6" s="1"/>
  <c r="Q299" i="6" s="1"/>
  <c r="P525" i="6"/>
  <c r="P526" i="6" s="1"/>
  <c r="P527" i="6" s="1"/>
  <c r="P515" i="6"/>
  <c r="P677" i="6"/>
  <c r="P678" i="6" s="1"/>
  <c r="P679" i="6" s="1"/>
  <c r="P667" i="6"/>
  <c r="Q808" i="8"/>
  <c r="Q829" i="6"/>
  <c r="Q830" i="6" s="1"/>
  <c r="Q831" i="6" s="1"/>
  <c r="Q819" i="6"/>
  <c r="P221" i="6"/>
  <c r="P222" i="6" s="1"/>
  <c r="P223" i="6" s="1"/>
  <c r="P211" i="6"/>
  <c r="Q200" i="8"/>
  <c r="Q221" i="6"/>
  <c r="Q222" i="6" s="1"/>
  <c r="Q223" i="6" s="1"/>
  <c r="Q211" i="6"/>
  <c r="P297" i="6"/>
  <c r="P298" i="6" s="1"/>
  <c r="P299" i="6" s="1"/>
  <c r="P287" i="6"/>
  <c r="P373" i="6"/>
  <c r="P374" i="6" s="1"/>
  <c r="P375" i="6" s="1"/>
  <c r="P363" i="6"/>
  <c r="Q504" i="8"/>
  <c r="Q525" i="6"/>
  <c r="Q526" i="6" s="1"/>
  <c r="Q527" i="6" s="1"/>
  <c r="Q515" i="6"/>
  <c r="Q656" i="8"/>
  <c r="Q677" i="6"/>
  <c r="Q678" i="6" s="1"/>
  <c r="Q679" i="6" s="1"/>
  <c r="Q667" i="6"/>
  <c r="Q732" i="8"/>
  <c r="Q753" i="6"/>
  <c r="Q754" i="6" s="1"/>
  <c r="Q755" i="6" s="1"/>
  <c r="Q743" i="6"/>
  <c r="Q352" i="8"/>
  <c r="Q373" i="6"/>
  <c r="Q374" i="6" s="1"/>
  <c r="Q375" i="6" s="1"/>
  <c r="Q363" i="6"/>
  <c r="P449" i="6"/>
  <c r="P450" i="6" s="1"/>
  <c r="P451" i="6" s="1"/>
  <c r="P439" i="6"/>
  <c r="Q428" i="8"/>
  <c r="Q449" i="6"/>
  <c r="Q450" i="6" s="1"/>
  <c r="Q451" i="6" s="1"/>
  <c r="Q439" i="6"/>
  <c r="P601" i="6"/>
  <c r="P602" i="6" s="1"/>
  <c r="P603" i="6" s="1"/>
  <c r="P591" i="6"/>
  <c r="Q580" i="8"/>
  <c r="Q601" i="6"/>
  <c r="Q602" i="6" s="1"/>
  <c r="Q603" i="6" s="1"/>
  <c r="Q591" i="6"/>
  <c r="P753" i="6"/>
  <c r="P754" i="6" s="1"/>
  <c r="P755" i="6" s="1"/>
  <c r="P743" i="6"/>
  <c r="P829" i="6"/>
  <c r="P830" i="6" s="1"/>
  <c r="P831" i="6" s="1"/>
  <c r="P819" i="6"/>
  <c r="Y221" i="8"/>
  <c r="AA297" i="8"/>
  <c r="AA677" i="8"/>
  <c r="O654" i="8"/>
  <c r="Y753" i="8"/>
  <c r="AA221" i="8"/>
  <c r="O426" i="8"/>
  <c r="Y525" i="8"/>
  <c r="AA753" i="8"/>
  <c r="O730" i="8"/>
  <c r="Y829" i="8"/>
  <c r="Y373" i="8"/>
  <c r="Y449" i="8"/>
  <c r="AA525" i="8"/>
  <c r="O502" i="8"/>
  <c r="Y601" i="8"/>
  <c r="AA829" i="8"/>
  <c r="O806" i="8"/>
  <c r="O198" i="8"/>
  <c r="N270" i="6"/>
  <c r="N270" i="8" s="1"/>
  <c r="N245" i="8"/>
  <c r="Y297" i="8"/>
  <c r="O274" i="8"/>
  <c r="AA373" i="8"/>
  <c r="O350" i="8"/>
  <c r="AA449" i="8"/>
  <c r="AA601" i="8"/>
  <c r="O578" i="8"/>
  <c r="N650" i="6"/>
  <c r="N650" i="8" s="1"/>
  <c r="N625" i="8"/>
  <c r="E650" i="6"/>
  <c r="E650" i="8" s="1"/>
  <c r="E630" i="8"/>
  <c r="Y677" i="8"/>
  <c r="N726" i="6"/>
  <c r="N726" i="8" s="1"/>
  <c r="E574" i="6"/>
  <c r="E574" i="8" s="1"/>
  <c r="P726" i="6"/>
  <c r="P726" i="8" s="1"/>
  <c r="E802" i="6"/>
  <c r="E802" i="8" s="1"/>
  <c r="E346" i="6"/>
  <c r="E346" i="8" s="1"/>
  <c r="E422" i="6"/>
  <c r="E422" i="8" s="1"/>
  <c r="E498" i="6"/>
  <c r="E498" i="8" s="1"/>
  <c r="P346" i="6"/>
  <c r="P346" i="8" s="1"/>
  <c r="P422" i="6"/>
  <c r="P422" i="8" s="1"/>
  <c r="P270" i="6"/>
  <c r="P270" i="8" s="1"/>
  <c r="N346" i="6"/>
  <c r="N346" i="8" s="1"/>
  <c r="N422" i="6"/>
  <c r="N422" i="8" s="1"/>
  <c r="P498" i="6"/>
  <c r="P498" i="8" s="1"/>
  <c r="E726" i="6"/>
  <c r="E726" i="8" s="1"/>
  <c r="N802" i="6"/>
  <c r="N802" i="8" s="1"/>
  <c r="E270" i="6"/>
  <c r="E270" i="8" s="1"/>
  <c r="N498" i="6"/>
  <c r="N498" i="8" s="1"/>
  <c r="N574" i="6"/>
  <c r="N574" i="8" s="1"/>
  <c r="G422" i="6"/>
  <c r="G422" i="8" s="1"/>
  <c r="G498" i="6"/>
  <c r="G498" i="8" s="1"/>
  <c r="G270" i="6"/>
  <c r="G270" i="8" s="1"/>
  <c r="G346" i="6"/>
  <c r="G346" i="8" s="1"/>
  <c r="G802" i="6"/>
  <c r="G802" i="8" s="1"/>
  <c r="P802" i="6"/>
  <c r="P802" i="8" s="1"/>
  <c r="G726" i="6"/>
  <c r="G726" i="8" s="1"/>
  <c r="P650" i="6"/>
  <c r="P650" i="8" s="1"/>
  <c r="G650" i="6"/>
  <c r="G650" i="8" s="1"/>
  <c r="G574" i="6"/>
  <c r="G574" i="8" s="1"/>
  <c r="P574" i="6"/>
  <c r="P574" i="8" s="1"/>
  <c r="Y439" i="8"/>
  <c r="Y363" i="8"/>
  <c r="AA211" i="8"/>
  <c r="P194" i="6"/>
  <c r="P194" i="8" s="1"/>
  <c r="G194" i="6"/>
  <c r="G194" i="8" s="1"/>
  <c r="E194" i="6"/>
  <c r="E194" i="8" s="1"/>
  <c r="N194" i="6"/>
  <c r="N194" i="8" s="1"/>
  <c r="Q297" i="8" l="1"/>
  <c r="P221" i="8"/>
  <c r="Q753" i="8"/>
  <c r="Q449" i="8"/>
  <c r="Q373" i="8"/>
  <c r="P677" i="8"/>
  <c r="Q525" i="8"/>
  <c r="P601" i="8"/>
  <c r="P373" i="8"/>
  <c r="Q221" i="8"/>
  <c r="Q829" i="8"/>
  <c r="P753" i="8"/>
  <c r="P829" i="8"/>
  <c r="P525" i="8"/>
  <c r="P297" i="8"/>
  <c r="Q677" i="8"/>
  <c r="Q601" i="8"/>
  <c r="P449" i="8"/>
  <c r="AA819" i="8"/>
  <c r="AA743" i="8"/>
  <c r="Y743" i="8"/>
  <c r="AA667" i="8"/>
  <c r="Y667" i="8"/>
  <c r="AA591" i="8"/>
  <c r="Y515" i="8"/>
  <c r="AA363" i="8"/>
  <c r="AA515" i="8"/>
  <c r="AA287" i="8"/>
  <c r="Y287" i="8"/>
  <c r="Y211" i="8"/>
  <c r="AH112" i="6"/>
  <c r="AG112" i="6"/>
  <c r="AH36" i="6"/>
  <c r="AG36" i="6"/>
  <c r="Q48" i="6"/>
  <c r="Q49" i="6"/>
  <c r="Q49" i="8" s="1"/>
  <c r="Q50" i="6"/>
  <c r="Q50" i="8" s="1"/>
  <c r="Q51" i="6"/>
  <c r="Q51" i="8" s="1"/>
  <c r="Q52" i="6"/>
  <c r="Q52" i="8" s="1"/>
  <c r="Q53" i="6"/>
  <c r="Q53" i="8" s="1"/>
  <c r="O46" i="6"/>
  <c r="O47" i="6"/>
  <c r="O47" i="8" s="1"/>
  <c r="O52" i="6"/>
  <c r="O52" i="8" s="1"/>
  <c r="O53" i="6"/>
  <c r="O53" i="8" s="1"/>
  <c r="I69" i="5"/>
  <c r="Q125" i="6"/>
  <c r="Q125" i="8" s="1"/>
  <c r="Q126" i="6"/>
  <c r="Q126" i="8" s="1"/>
  <c r="Q127" i="6"/>
  <c r="Q127" i="8" s="1"/>
  <c r="Q128" i="6"/>
  <c r="Q128" i="8" s="1"/>
  <c r="Q129" i="6"/>
  <c r="Q129" i="8" s="1"/>
  <c r="Q124" i="6"/>
  <c r="O129" i="6"/>
  <c r="O129" i="8" s="1"/>
  <c r="O128" i="6"/>
  <c r="O128" i="8" s="1"/>
  <c r="O123" i="6"/>
  <c r="O123" i="8" s="1"/>
  <c r="O122" i="6"/>
  <c r="Q110" i="6"/>
  <c r="Q110" i="8" s="1"/>
  <c r="O95" i="6"/>
  <c r="O95" i="8" s="1"/>
  <c r="Q95" i="6"/>
  <c r="Q95" i="8" s="1"/>
  <c r="O94" i="6"/>
  <c r="O94" i="8" s="1"/>
  <c r="H121" i="6"/>
  <c r="H121" i="8" s="1"/>
  <c r="H120" i="6"/>
  <c r="H120" i="8" s="1"/>
  <c r="H119" i="6"/>
  <c r="H119" i="8" s="1"/>
  <c r="F121" i="6"/>
  <c r="F121" i="8" s="1"/>
  <c r="F120" i="6"/>
  <c r="F120" i="8" s="1"/>
  <c r="F119" i="6"/>
  <c r="Z109" i="6"/>
  <c r="Z109" i="8" s="1"/>
  <c r="W109" i="6"/>
  <c r="W109" i="8" s="1"/>
  <c r="P109" i="6"/>
  <c r="P109" i="8" s="1"/>
  <c r="N109" i="6"/>
  <c r="N109" i="8" s="1"/>
  <c r="G109" i="6"/>
  <c r="G109" i="8" s="1"/>
  <c r="E109" i="6"/>
  <c r="E109" i="8" s="1"/>
  <c r="P104" i="6"/>
  <c r="P104" i="8" s="1"/>
  <c r="N104" i="6"/>
  <c r="N104" i="8" s="1"/>
  <c r="G104" i="6"/>
  <c r="G104" i="8" s="1"/>
  <c r="E104" i="6"/>
  <c r="E104" i="8" s="1"/>
  <c r="Z101" i="6"/>
  <c r="Z101" i="8" s="1"/>
  <c r="W101" i="6"/>
  <c r="W101" i="8" s="1"/>
  <c r="P101" i="6"/>
  <c r="P101" i="8" s="1"/>
  <c r="N101" i="6"/>
  <c r="N101" i="8" s="1"/>
  <c r="G101" i="6"/>
  <c r="G101" i="8" s="1"/>
  <c r="E101" i="6"/>
  <c r="E101" i="8" s="1"/>
  <c r="Z98" i="6"/>
  <c r="Z98" i="8" s="1"/>
  <c r="W98" i="6"/>
  <c r="W98" i="8" s="1"/>
  <c r="P98" i="6"/>
  <c r="P98" i="8" s="1"/>
  <c r="N98" i="6"/>
  <c r="N98" i="8" s="1"/>
  <c r="G98" i="6"/>
  <c r="G98" i="8" s="1"/>
  <c r="E98" i="6"/>
  <c r="E98" i="8" s="1"/>
  <c r="Z93" i="6"/>
  <c r="Z93" i="8" s="1"/>
  <c r="W93" i="6"/>
  <c r="W93" i="8" s="1"/>
  <c r="P93" i="6"/>
  <c r="P93" i="8" s="1"/>
  <c r="N93" i="6"/>
  <c r="N93" i="8" s="1"/>
  <c r="G93" i="6"/>
  <c r="G93" i="8" s="1"/>
  <c r="E93" i="6"/>
  <c r="E93" i="8" s="1"/>
  <c r="Q135" i="6" l="1"/>
  <c r="Q145" i="6"/>
  <c r="Q146" i="6" s="1"/>
  <c r="Q147" i="6" s="1"/>
  <c r="P145" i="6"/>
  <c r="P146" i="6" s="1"/>
  <c r="P147" i="6" s="1"/>
  <c r="P135" i="6"/>
  <c r="O46" i="8"/>
  <c r="P69" i="6"/>
  <c r="P69" i="8" s="1"/>
  <c r="P59" i="6"/>
  <c r="Q48" i="8"/>
  <c r="Q69" i="6"/>
  <c r="Q69" i="8" s="1"/>
  <c r="Q59" i="6"/>
  <c r="AA69" i="8"/>
  <c r="AA145" i="8"/>
  <c r="O122" i="8"/>
  <c r="Q124" i="8"/>
  <c r="Y819" i="8"/>
  <c r="AA439" i="8"/>
  <c r="Y591" i="8"/>
  <c r="O119" i="6"/>
  <c r="O119" i="8" s="1"/>
  <c r="F119" i="8"/>
  <c r="Y145" i="8"/>
  <c r="Y69" i="8"/>
  <c r="N118" i="6"/>
  <c r="N118" i="8" s="1"/>
  <c r="E118" i="6"/>
  <c r="E118" i="8" s="1"/>
  <c r="H197" i="6"/>
  <c r="H273" i="6" s="1"/>
  <c r="AA121" i="6"/>
  <c r="AA121" i="8" s="1"/>
  <c r="Q121" i="6"/>
  <c r="Q121" i="8" s="1"/>
  <c r="H196" i="6"/>
  <c r="H272" i="6" s="1"/>
  <c r="AA120" i="6"/>
  <c r="AA120" i="8" s="1"/>
  <c r="H195" i="6"/>
  <c r="AA119" i="6"/>
  <c r="AA119" i="8" s="1"/>
  <c r="F197" i="6"/>
  <c r="X121" i="6"/>
  <c r="X121" i="8" s="1"/>
  <c r="F196" i="6"/>
  <c r="X120" i="6"/>
  <c r="X120" i="8" s="1"/>
  <c r="O120" i="6"/>
  <c r="O120" i="8" s="1"/>
  <c r="F195" i="6"/>
  <c r="X119" i="6"/>
  <c r="Q120" i="6"/>
  <c r="Q120" i="8" s="1"/>
  <c r="Q119" i="6"/>
  <c r="Q119" i="8" s="1"/>
  <c r="O121" i="6"/>
  <c r="O121" i="8" s="1"/>
  <c r="G118" i="6"/>
  <c r="G118" i="8" s="1"/>
  <c r="P118" i="6"/>
  <c r="P118" i="8" s="1"/>
  <c r="Y135" i="8"/>
  <c r="D9" i="6"/>
  <c r="Q44" i="6"/>
  <c r="Q45" i="6"/>
  <c r="Q43" i="6"/>
  <c r="O44" i="6"/>
  <c r="O45" i="6"/>
  <c r="O43" i="6"/>
  <c r="Z17" i="6"/>
  <c r="Z17" i="8" s="1"/>
  <c r="W17" i="6"/>
  <c r="W17" i="8" s="1"/>
  <c r="Z22" i="6"/>
  <c r="Z22" i="8" s="1"/>
  <c r="W22" i="6"/>
  <c r="W22" i="8" s="1"/>
  <c r="Z25" i="6"/>
  <c r="Z25" i="8" s="1"/>
  <c r="W25" i="6"/>
  <c r="W25" i="8" s="1"/>
  <c r="Z33" i="6"/>
  <c r="Z33" i="8" s="1"/>
  <c r="W33" i="6"/>
  <c r="W33" i="8" s="1"/>
  <c r="P17" i="6"/>
  <c r="P17" i="8" s="1"/>
  <c r="N17" i="6"/>
  <c r="N17" i="8" s="1"/>
  <c r="P22" i="6"/>
  <c r="P22" i="8" s="1"/>
  <c r="N22" i="6"/>
  <c r="N22" i="8" s="1"/>
  <c r="P25" i="6"/>
  <c r="P25" i="8" s="1"/>
  <c r="N25" i="6"/>
  <c r="N25" i="8" s="1"/>
  <c r="P28" i="6"/>
  <c r="P28" i="8" s="1"/>
  <c r="N28" i="6"/>
  <c r="N28" i="8" s="1"/>
  <c r="P33" i="6"/>
  <c r="P33" i="8" s="1"/>
  <c r="N33" i="6"/>
  <c r="N33" i="8" s="1"/>
  <c r="O19" i="6"/>
  <c r="O19" i="8" s="1"/>
  <c r="Q19" i="6"/>
  <c r="Q19" i="8" s="1"/>
  <c r="O18" i="8"/>
  <c r="Q145" i="8" l="1"/>
  <c r="P145" i="8"/>
  <c r="D85" i="6"/>
  <c r="D9" i="8"/>
  <c r="AA273" i="6"/>
  <c r="AA273" i="8" s="1"/>
  <c r="H273" i="8"/>
  <c r="AA197" i="6"/>
  <c r="AA197" i="8" s="1"/>
  <c r="H197" i="8"/>
  <c r="Y43" i="6"/>
  <c r="Y43" i="8" s="1"/>
  <c r="O43" i="8"/>
  <c r="AB45" i="6"/>
  <c r="AB45" i="8" s="1"/>
  <c r="Q45" i="8"/>
  <c r="AA272" i="6"/>
  <c r="AA272" i="8" s="1"/>
  <c r="H272" i="8"/>
  <c r="Y45" i="6"/>
  <c r="Y45" i="8" s="1"/>
  <c r="O45" i="8"/>
  <c r="AB44" i="6"/>
  <c r="AB44" i="8" s="1"/>
  <c r="Q44" i="8"/>
  <c r="Y119" i="6"/>
  <c r="Y119" i="8" s="1"/>
  <c r="X119" i="8"/>
  <c r="X196" i="6"/>
  <c r="X196" i="8" s="1"/>
  <c r="F196" i="8"/>
  <c r="AA195" i="6"/>
  <c r="AA195" i="8" s="1"/>
  <c r="H195" i="8"/>
  <c r="Y830" i="8"/>
  <c r="AA678" i="8"/>
  <c r="Y44" i="6"/>
  <c r="Y44" i="8" s="1"/>
  <c r="O44" i="8"/>
  <c r="X195" i="6"/>
  <c r="X195" i="8" s="1"/>
  <c r="F195" i="8"/>
  <c r="AB43" i="6"/>
  <c r="AB43" i="8" s="1"/>
  <c r="Q43" i="8"/>
  <c r="X197" i="6"/>
  <c r="X197" i="8" s="1"/>
  <c r="F197" i="8"/>
  <c r="AA196" i="6"/>
  <c r="AA196" i="8" s="1"/>
  <c r="H196" i="8"/>
  <c r="Y222" i="8"/>
  <c r="AA450" i="8"/>
  <c r="AA526" i="8"/>
  <c r="AA298" i="8"/>
  <c r="Y602" i="8"/>
  <c r="Q196" i="6"/>
  <c r="O197" i="6"/>
  <c r="O197" i="8" s="1"/>
  <c r="N42" i="6"/>
  <c r="N42" i="8" s="1"/>
  <c r="O195" i="6"/>
  <c r="Y121" i="6"/>
  <c r="Y121" i="8" s="1"/>
  <c r="F271" i="6"/>
  <c r="F273" i="6"/>
  <c r="H271" i="6"/>
  <c r="Q197" i="6"/>
  <c r="O196" i="6"/>
  <c r="Q195" i="6"/>
  <c r="Q195" i="8" s="1"/>
  <c r="AB120" i="6"/>
  <c r="AB120" i="8" s="1"/>
  <c r="AB121" i="6"/>
  <c r="AB121" i="8" s="1"/>
  <c r="AB119" i="6"/>
  <c r="AB119" i="8" s="1"/>
  <c r="F272" i="6"/>
  <c r="Y120" i="6"/>
  <c r="Y120" i="8" s="1"/>
  <c r="AA135" i="8"/>
  <c r="Q273" i="6"/>
  <c r="H349" i="6"/>
  <c r="Q272" i="6"/>
  <c r="H348" i="6"/>
  <c r="V9" i="6"/>
  <c r="V9" i="8" s="1"/>
  <c r="M9" i="6"/>
  <c r="M9" i="8" s="1"/>
  <c r="P42" i="6"/>
  <c r="P42" i="8" s="1"/>
  <c r="G33" i="6"/>
  <c r="G33" i="8" s="1"/>
  <c r="E33" i="6"/>
  <c r="E33" i="8" s="1"/>
  <c r="E28" i="6"/>
  <c r="E28" i="8" s="1"/>
  <c r="G28" i="6"/>
  <c r="G28" i="8" s="1"/>
  <c r="E25" i="6"/>
  <c r="E25" i="8" s="1"/>
  <c r="G25" i="6"/>
  <c r="G25" i="8" s="1"/>
  <c r="G22" i="6"/>
  <c r="G22" i="8" s="1"/>
  <c r="E22" i="8"/>
  <c r="G17" i="6"/>
  <c r="G17" i="8" s="1"/>
  <c r="E17" i="6"/>
  <c r="E17" i="8" s="1"/>
  <c r="D10" i="6"/>
  <c r="D8" i="6"/>
  <c r="D85" i="8" l="1"/>
  <c r="D161" i="6"/>
  <c r="D161" i="8" s="1"/>
  <c r="M85" i="6"/>
  <c r="M85" i="8" s="1"/>
  <c r="AA348" i="6"/>
  <c r="AA348" i="8" s="1"/>
  <c r="H348" i="8"/>
  <c r="X272" i="6"/>
  <c r="X272" i="8" s="1"/>
  <c r="F272" i="8"/>
  <c r="AB197" i="6"/>
  <c r="AB197" i="8" s="1"/>
  <c r="Q197" i="8"/>
  <c r="AB196" i="6"/>
  <c r="AB196" i="8" s="1"/>
  <c r="Q196" i="8"/>
  <c r="Y526" i="8"/>
  <c r="D86" i="6"/>
  <c r="D10" i="8"/>
  <c r="AB272" i="6"/>
  <c r="AB272" i="8" s="1"/>
  <c r="Q272" i="8"/>
  <c r="Y197" i="6"/>
  <c r="Y197" i="8" s="1"/>
  <c r="AA271" i="6"/>
  <c r="AA271" i="8" s="1"/>
  <c r="H271" i="8"/>
  <c r="Y195" i="6"/>
  <c r="Y195" i="8" s="1"/>
  <c r="O195" i="8"/>
  <c r="Y678" i="8"/>
  <c r="AA754" i="8"/>
  <c r="AA222" i="8"/>
  <c r="Y374" i="8"/>
  <c r="V85" i="6"/>
  <c r="V85" i="8" s="1"/>
  <c r="AA349" i="6"/>
  <c r="AA349" i="8" s="1"/>
  <c r="H349" i="8"/>
  <c r="AB195" i="6"/>
  <c r="AB195" i="8" s="1"/>
  <c r="X273" i="6"/>
  <c r="X273" i="8" s="1"/>
  <c r="F273" i="8"/>
  <c r="AA602" i="8"/>
  <c r="AA830" i="8"/>
  <c r="D84" i="6"/>
  <c r="D8" i="8"/>
  <c r="AB273" i="6"/>
  <c r="AB273" i="8" s="1"/>
  <c r="Q273" i="8"/>
  <c r="Y196" i="6"/>
  <c r="Y196" i="8" s="1"/>
  <c r="O196" i="8"/>
  <c r="X271" i="6"/>
  <c r="X271" i="8" s="1"/>
  <c r="F271" i="8"/>
  <c r="Y450" i="8"/>
  <c r="Y298" i="8"/>
  <c r="AA374" i="8"/>
  <c r="Y754" i="8"/>
  <c r="H347" i="6"/>
  <c r="Q271" i="6"/>
  <c r="O271" i="6"/>
  <c r="F347" i="6"/>
  <c r="E42" i="6"/>
  <c r="E42" i="8" s="1"/>
  <c r="O272" i="6"/>
  <c r="O273" i="6"/>
  <c r="F349" i="6"/>
  <c r="O349" i="6" s="1"/>
  <c r="F348" i="6"/>
  <c r="Q349" i="6"/>
  <c r="H425" i="6"/>
  <c r="Q348" i="6"/>
  <c r="H424" i="6"/>
  <c r="AA59" i="8"/>
  <c r="G42" i="6"/>
  <c r="G42" i="8" s="1"/>
  <c r="V10" i="6"/>
  <c r="V10" i="8" s="1"/>
  <c r="M10" i="6"/>
  <c r="M10" i="8" s="1"/>
  <c r="M8" i="6"/>
  <c r="M8" i="8" s="1"/>
  <c r="V8" i="6"/>
  <c r="V8" i="8" s="1"/>
  <c r="BK97" i="2"/>
  <c r="BJ97" i="2"/>
  <c r="BF97" i="2"/>
  <c r="BE97" i="2"/>
  <c r="BA97" i="2"/>
  <c r="AZ97" i="2"/>
  <c r="AV97" i="2"/>
  <c r="AU97" i="2"/>
  <c r="AQ97" i="2"/>
  <c r="AP97" i="2"/>
  <c r="AL97" i="2"/>
  <c r="AK97" i="2"/>
  <c r="AG97" i="2"/>
  <c r="AF97" i="2"/>
  <c r="AB97" i="2"/>
  <c r="AA97" i="2"/>
  <c r="W97" i="2"/>
  <c r="V97" i="2"/>
  <c r="R97" i="2"/>
  <c r="Q97" i="2"/>
  <c r="N23" i="2"/>
  <c r="D86" i="8" l="1"/>
  <c r="D162" i="6"/>
  <c r="D162" i="8" s="1"/>
  <c r="D84" i="8"/>
  <c r="D160" i="6"/>
  <c r="D160" i="8" s="1"/>
  <c r="M161" i="6"/>
  <c r="M161" i="8" s="1"/>
  <c r="V161" i="6"/>
  <c r="V161" i="8" s="1"/>
  <c r="D237" i="6"/>
  <c r="D313" i="6" s="1"/>
  <c r="D313" i="8" s="1"/>
  <c r="M86" i="6"/>
  <c r="M86" i="8" s="1"/>
  <c r="M84" i="6"/>
  <c r="M84" i="8" s="1"/>
  <c r="V86" i="6"/>
  <c r="V86" i="8" s="1"/>
  <c r="AA425" i="6"/>
  <c r="AA425" i="8" s="1"/>
  <c r="H425" i="8"/>
  <c r="Y271" i="6"/>
  <c r="Y271" i="8" s="1"/>
  <c r="O271" i="8"/>
  <c r="AA347" i="6"/>
  <c r="AA347" i="8" s="1"/>
  <c r="H347" i="8"/>
  <c r="AA70" i="6"/>
  <c r="AA424" i="6"/>
  <c r="AA424" i="8" s="1"/>
  <c r="H424" i="8"/>
  <c r="X348" i="6"/>
  <c r="X348" i="8" s="1"/>
  <c r="F348" i="8"/>
  <c r="AB348" i="6"/>
  <c r="AB348" i="8" s="1"/>
  <c r="Q348" i="8"/>
  <c r="X349" i="6"/>
  <c r="X349" i="8" s="1"/>
  <c r="F349" i="8"/>
  <c r="X347" i="6"/>
  <c r="X347" i="8" s="1"/>
  <c r="F347" i="8"/>
  <c r="AB271" i="6"/>
  <c r="AB271" i="8" s="1"/>
  <c r="Q271" i="8"/>
  <c r="Y273" i="6"/>
  <c r="Y273" i="8" s="1"/>
  <c r="O273" i="8"/>
  <c r="V84" i="6"/>
  <c r="V84" i="8" s="1"/>
  <c r="O349" i="8"/>
  <c r="AB349" i="6"/>
  <c r="AB349" i="8" s="1"/>
  <c r="Q349" i="8"/>
  <c r="Y272" i="6"/>
  <c r="Y272" i="8" s="1"/>
  <c r="O272" i="8"/>
  <c r="Y70" i="6"/>
  <c r="Y59" i="8"/>
  <c r="H423" i="6"/>
  <c r="H499" i="6" s="1"/>
  <c r="Q347" i="6"/>
  <c r="F423" i="6"/>
  <c r="O347" i="6"/>
  <c r="F425" i="6"/>
  <c r="O425" i="6" s="1"/>
  <c r="O348" i="6"/>
  <c r="F424" i="6"/>
  <c r="Q425" i="6"/>
  <c r="H501" i="6"/>
  <c r="Q424" i="6"/>
  <c r="H500" i="6"/>
  <c r="BG23" i="2"/>
  <c r="BG24" i="2"/>
  <c r="BG27" i="2"/>
  <c r="BG30" i="2"/>
  <c r="BG33" i="2"/>
  <c r="BG34" i="2"/>
  <c r="BG38" i="2"/>
  <c r="BG39" i="2"/>
  <c r="BG47" i="2"/>
  <c r="BG49" i="2"/>
  <c r="BG50" i="2"/>
  <c r="BG51" i="2"/>
  <c r="BG52" i="2"/>
  <c r="BG53" i="2"/>
  <c r="BG54" i="2"/>
  <c r="BG55" i="2"/>
  <c r="BG56" i="2"/>
  <c r="BG22" i="2"/>
  <c r="BB23" i="2"/>
  <c r="BB24" i="2"/>
  <c r="BB27" i="2"/>
  <c r="BB30" i="2"/>
  <c r="BB33" i="2"/>
  <c r="BB34" i="2"/>
  <c r="BB38" i="2"/>
  <c r="BB39" i="2"/>
  <c r="BB47" i="2"/>
  <c r="BB49" i="2"/>
  <c r="BB50" i="2"/>
  <c r="BB51" i="2"/>
  <c r="BB52" i="2"/>
  <c r="BB53" i="2"/>
  <c r="BB54" i="2"/>
  <c r="BB55" i="2"/>
  <c r="BB56" i="2"/>
  <c r="BB22" i="2"/>
  <c r="AW23" i="2"/>
  <c r="AW24" i="2"/>
  <c r="AW27" i="2"/>
  <c r="AW30" i="2"/>
  <c r="AW33" i="2"/>
  <c r="AW34" i="2"/>
  <c r="AW38" i="2"/>
  <c r="AW39" i="2"/>
  <c r="AW47" i="2"/>
  <c r="AW49" i="2"/>
  <c r="AW50" i="2"/>
  <c r="AW51" i="2"/>
  <c r="AW52" i="2"/>
  <c r="AW53" i="2"/>
  <c r="AW54" i="2"/>
  <c r="AW55" i="2"/>
  <c r="AW56" i="2"/>
  <c r="AW22" i="2"/>
  <c r="AR23" i="2"/>
  <c r="AR24" i="2"/>
  <c r="AR27" i="2"/>
  <c r="AR30" i="2"/>
  <c r="AR33" i="2"/>
  <c r="AR34" i="2"/>
  <c r="AR38" i="2"/>
  <c r="AR39" i="2"/>
  <c r="AR47" i="2"/>
  <c r="AR49" i="2"/>
  <c r="AR50" i="2"/>
  <c r="AR51" i="2"/>
  <c r="AR52" i="2"/>
  <c r="AR53" i="2"/>
  <c r="AR54" i="2"/>
  <c r="AR55" i="2"/>
  <c r="AR56" i="2"/>
  <c r="AR22" i="2"/>
  <c r="AM23" i="2"/>
  <c r="AM24" i="2"/>
  <c r="AM27" i="2"/>
  <c r="AM30" i="2"/>
  <c r="AM33" i="2"/>
  <c r="AM34" i="2"/>
  <c r="AM38" i="2"/>
  <c r="AM39" i="2"/>
  <c r="AM47" i="2"/>
  <c r="AM49" i="2"/>
  <c r="AM50" i="2"/>
  <c r="AM51" i="2"/>
  <c r="AM52" i="2"/>
  <c r="AM53" i="2"/>
  <c r="AM54" i="2"/>
  <c r="AM55" i="2"/>
  <c r="AM56" i="2"/>
  <c r="AM22" i="2"/>
  <c r="V160" i="6" l="1"/>
  <c r="M160" i="6"/>
  <c r="M162" i="6"/>
  <c r="M162" i="8" s="1"/>
  <c r="V162" i="6"/>
  <c r="V162" i="8" s="1"/>
  <c r="D237" i="8"/>
  <c r="M237" i="6"/>
  <c r="M237" i="8" s="1"/>
  <c r="V237" i="6"/>
  <c r="V237" i="8" s="1"/>
  <c r="M313" i="6"/>
  <c r="M313" i="8" s="1"/>
  <c r="D238" i="6"/>
  <c r="D238" i="8" s="1"/>
  <c r="Y349" i="6"/>
  <c r="Y349" i="8" s="1"/>
  <c r="V313" i="6"/>
  <c r="V313" i="8" s="1"/>
  <c r="D389" i="6"/>
  <c r="D389" i="8" s="1"/>
  <c r="D236" i="6"/>
  <c r="D236" i="8" s="1"/>
  <c r="Q423" i="6"/>
  <c r="Q423" i="8" s="1"/>
  <c r="M160" i="8"/>
  <c r="F501" i="6"/>
  <c r="F577" i="6" s="1"/>
  <c r="F577" i="8" s="1"/>
  <c r="V160" i="8"/>
  <c r="AA499" i="6"/>
  <c r="AA499" i="8" s="1"/>
  <c r="H499" i="8"/>
  <c r="AB425" i="6"/>
  <c r="AB425" i="8" s="1"/>
  <c r="Q425" i="8"/>
  <c r="O425" i="8"/>
  <c r="AB424" i="6"/>
  <c r="AB424" i="8" s="1"/>
  <c r="Q424" i="8"/>
  <c r="Y348" i="6"/>
  <c r="Y348" i="8" s="1"/>
  <c r="O348" i="8"/>
  <c r="AB347" i="6"/>
  <c r="AB347" i="8" s="1"/>
  <c r="Q347" i="8"/>
  <c r="AA146" i="8"/>
  <c r="AA501" i="6"/>
  <c r="AA501" i="8" s="1"/>
  <c r="H501" i="8"/>
  <c r="X425" i="6"/>
  <c r="X425" i="8" s="1"/>
  <c r="F425" i="8"/>
  <c r="AA423" i="6"/>
  <c r="AA423" i="8" s="1"/>
  <c r="H423" i="8"/>
  <c r="Y347" i="6"/>
  <c r="Y347" i="8" s="1"/>
  <c r="O347" i="8"/>
  <c r="AA500" i="6"/>
  <c r="AA500" i="8" s="1"/>
  <c r="H500" i="8"/>
  <c r="X424" i="6"/>
  <c r="X424" i="8" s="1"/>
  <c r="F424" i="8"/>
  <c r="X423" i="6"/>
  <c r="X423" i="8" s="1"/>
  <c r="F423" i="8"/>
  <c r="Y146" i="8"/>
  <c r="AA70" i="8"/>
  <c r="Y70" i="8"/>
  <c r="F499" i="6"/>
  <c r="O423" i="6"/>
  <c r="F500" i="6"/>
  <c r="O424" i="6"/>
  <c r="O424" i="8" s="1"/>
  <c r="H577" i="6"/>
  <c r="H577" i="8" s="1"/>
  <c r="Q501" i="6"/>
  <c r="Q500" i="6"/>
  <c r="H576" i="6"/>
  <c r="H576" i="8" s="1"/>
  <c r="Q499" i="6"/>
  <c r="H575" i="6"/>
  <c r="H575" i="8" s="1"/>
  <c r="O501" i="6"/>
  <c r="R44" i="5"/>
  <c r="R45" i="5" s="1"/>
  <c r="Q44" i="5"/>
  <c r="Q45" i="5" s="1"/>
  <c r="P44" i="5"/>
  <c r="P45" i="5" s="1"/>
  <c r="O44" i="5"/>
  <c r="O45" i="5" s="1"/>
  <c r="N44" i="5"/>
  <c r="N45" i="5" s="1"/>
  <c r="M44" i="5"/>
  <c r="M45" i="5" s="1"/>
  <c r="L44" i="5"/>
  <c r="L45" i="5" s="1"/>
  <c r="K44" i="5"/>
  <c r="K45" i="5" s="1"/>
  <c r="J44" i="5"/>
  <c r="P156" i="6" s="1"/>
  <c r="Q156" i="6" s="1"/>
  <c r="I44" i="5"/>
  <c r="I45" i="5" s="1"/>
  <c r="F97" i="2"/>
  <c r="E97" i="2"/>
  <c r="R68" i="2" l="1"/>
  <c r="R74" i="2" s="1"/>
  <c r="Q68" i="2"/>
  <c r="J97" i="2"/>
  <c r="AA527" i="8"/>
  <c r="AA603" i="8"/>
  <c r="AA147" i="8"/>
  <c r="AA831" i="8"/>
  <c r="AA451" i="8"/>
  <c r="AA299" i="8"/>
  <c r="AA755" i="8"/>
  <c r="AA375" i="8"/>
  <c r="AA679" i="8"/>
  <c r="AA223" i="8"/>
  <c r="Y147" i="8"/>
  <c r="Y299" i="8"/>
  <c r="Y755" i="8"/>
  <c r="Y831" i="8"/>
  <c r="Y451" i="8"/>
  <c r="Y375" i="8"/>
  <c r="Y603" i="8"/>
  <c r="Y679" i="8"/>
  <c r="Y223" i="8"/>
  <c r="Y527" i="8"/>
  <c r="C71" i="6"/>
  <c r="C71" i="8"/>
  <c r="L71" i="8" s="1"/>
  <c r="X501" i="6"/>
  <c r="X501" i="8" s="1"/>
  <c r="D465" i="6"/>
  <c r="D465" i="8" s="1"/>
  <c r="D314" i="6"/>
  <c r="D314" i="8" s="1"/>
  <c r="F501" i="8"/>
  <c r="V389" i="6"/>
  <c r="V389" i="8" s="1"/>
  <c r="M238" i="6"/>
  <c r="M238" i="8" s="1"/>
  <c r="D312" i="6"/>
  <c r="D312" i="8" s="1"/>
  <c r="V238" i="6"/>
  <c r="V238" i="8" s="1"/>
  <c r="M389" i="6"/>
  <c r="M389" i="8" s="1"/>
  <c r="M236" i="6"/>
  <c r="M236" i="8" s="1"/>
  <c r="J50" i="5"/>
  <c r="J45" i="5"/>
  <c r="V236" i="6"/>
  <c r="V236" i="8" s="1"/>
  <c r="Y71" i="6"/>
  <c r="Y71" i="8" s="1"/>
  <c r="AA71" i="6"/>
  <c r="AA71" i="8" s="1"/>
  <c r="AB500" i="6"/>
  <c r="AB500" i="8" s="1"/>
  <c r="Q500" i="8"/>
  <c r="AB499" i="6"/>
  <c r="AB499" i="8" s="1"/>
  <c r="Q499" i="8"/>
  <c r="Y423" i="6"/>
  <c r="Y423" i="8" s="1"/>
  <c r="O423" i="8"/>
  <c r="Y424" i="6"/>
  <c r="Y424" i="8" s="1"/>
  <c r="X499" i="6"/>
  <c r="X499" i="8" s="1"/>
  <c r="F499" i="8"/>
  <c r="AB423" i="6"/>
  <c r="AB423" i="8" s="1"/>
  <c r="Y425" i="6"/>
  <c r="Y425" i="8" s="1"/>
  <c r="O501" i="8"/>
  <c r="AB501" i="6"/>
  <c r="AB501" i="8" s="1"/>
  <c r="Q501" i="8"/>
  <c r="X500" i="6"/>
  <c r="X500" i="8" s="1"/>
  <c r="F500" i="8"/>
  <c r="F575" i="6"/>
  <c r="O500" i="6"/>
  <c r="O499" i="6"/>
  <c r="F576" i="6"/>
  <c r="P232" i="6"/>
  <c r="P232" i="8" s="1"/>
  <c r="K50" i="5"/>
  <c r="P536" i="6"/>
  <c r="P536" i="8" s="1"/>
  <c r="O50" i="5"/>
  <c r="P308" i="6"/>
  <c r="P308" i="8" s="1"/>
  <c r="L50" i="5"/>
  <c r="P384" i="6"/>
  <c r="P384" i="8" s="1"/>
  <c r="M50" i="5"/>
  <c r="P688" i="6"/>
  <c r="P688" i="8" s="1"/>
  <c r="Q50" i="5"/>
  <c r="P460" i="6"/>
  <c r="P460" i="8" s="1"/>
  <c r="N50" i="5"/>
  <c r="P764" i="6"/>
  <c r="P764" i="8" s="1"/>
  <c r="R50" i="5"/>
  <c r="P612" i="6"/>
  <c r="P612" i="8" s="1"/>
  <c r="P50" i="5"/>
  <c r="X577" i="6"/>
  <c r="X577" i="8" s="1"/>
  <c r="AA577" i="6"/>
  <c r="AA577" i="8" s="1"/>
  <c r="Q577" i="6"/>
  <c r="Q577" i="8" s="1"/>
  <c r="H653" i="6"/>
  <c r="Q576" i="6"/>
  <c r="Q576" i="8" s="1"/>
  <c r="H652" i="6"/>
  <c r="H651" i="6"/>
  <c r="Q575" i="6"/>
  <c r="Q575" i="8" s="1"/>
  <c r="O577" i="6"/>
  <c r="O577" i="8" s="1"/>
  <c r="F653" i="6"/>
  <c r="P80" i="6"/>
  <c r="P80" i="8" s="1"/>
  <c r="P156" i="8"/>
  <c r="I97" i="2"/>
  <c r="R87" i="2" l="1"/>
  <c r="AA140" i="6" s="1"/>
  <c r="Z517" i="6"/>
  <c r="Z593" i="6"/>
  <c r="Y441" i="6"/>
  <c r="Y441" i="8" s="1"/>
  <c r="Z441" i="8"/>
  <c r="Q136" i="6"/>
  <c r="Q138" i="8"/>
  <c r="Q136" i="8" s="1"/>
  <c r="P136" i="6"/>
  <c r="P138" i="8"/>
  <c r="P136" i="8" s="1"/>
  <c r="V465" i="6"/>
  <c r="V465" i="8" s="1"/>
  <c r="D541" i="6"/>
  <c r="D541" i="8" s="1"/>
  <c r="M465" i="6"/>
  <c r="M465" i="8" s="1"/>
  <c r="U71" i="8"/>
  <c r="Y501" i="6"/>
  <c r="Y501" i="8" s="1"/>
  <c r="M314" i="6"/>
  <c r="M314" i="8" s="1"/>
  <c r="V314" i="6"/>
  <c r="V314" i="8" s="1"/>
  <c r="D390" i="6"/>
  <c r="V390" i="6" s="1"/>
  <c r="V390" i="8" s="1"/>
  <c r="V312" i="6"/>
  <c r="V312" i="8" s="1"/>
  <c r="M312" i="6"/>
  <c r="M312" i="8" s="1"/>
  <c r="D388" i="6"/>
  <c r="D388" i="8" s="1"/>
  <c r="X576" i="6"/>
  <c r="X576" i="8" s="1"/>
  <c r="F576" i="8"/>
  <c r="Y500" i="6"/>
  <c r="Y500" i="8" s="1"/>
  <c r="O500" i="8"/>
  <c r="AA653" i="6"/>
  <c r="AA653" i="8" s="1"/>
  <c r="H653" i="8"/>
  <c r="AA575" i="6"/>
  <c r="AA575" i="8" s="1"/>
  <c r="F575" i="8"/>
  <c r="AA651" i="6"/>
  <c r="AA651" i="8" s="1"/>
  <c r="H651" i="8"/>
  <c r="X653" i="6"/>
  <c r="X653" i="8" s="1"/>
  <c r="F653" i="8"/>
  <c r="AA652" i="6"/>
  <c r="AA652" i="8" s="1"/>
  <c r="H652" i="8"/>
  <c r="Y499" i="6"/>
  <c r="Y499" i="8" s="1"/>
  <c r="O499" i="8"/>
  <c r="X575" i="6"/>
  <c r="X575" i="8" s="1"/>
  <c r="O576" i="6"/>
  <c r="O576" i="8" s="1"/>
  <c r="AA576" i="6"/>
  <c r="AA576" i="8" s="1"/>
  <c r="F652" i="6"/>
  <c r="F651" i="6"/>
  <c r="O575" i="6"/>
  <c r="O575" i="8" s="1"/>
  <c r="Y577" i="6"/>
  <c r="Y577" i="8" s="1"/>
  <c r="U71" i="6"/>
  <c r="L71" i="6"/>
  <c r="AB577" i="6"/>
  <c r="AB577" i="8" s="1"/>
  <c r="AB576" i="6"/>
  <c r="AB576" i="8" s="1"/>
  <c r="Q653" i="6"/>
  <c r="H729" i="6"/>
  <c r="Q652" i="6"/>
  <c r="H728" i="6"/>
  <c r="Q651" i="6"/>
  <c r="H727" i="6"/>
  <c r="F729" i="6"/>
  <c r="O653" i="6"/>
  <c r="H44" i="5"/>
  <c r="AA143" i="6" l="1"/>
  <c r="AA143" i="8" s="1"/>
  <c r="AA140" i="8"/>
  <c r="AB593" i="8"/>
  <c r="AA593" i="6"/>
  <c r="AA593" i="8" s="1"/>
  <c r="AA821" i="6"/>
  <c r="AA821" i="8" s="1"/>
  <c r="AB821" i="8"/>
  <c r="Y745" i="6"/>
  <c r="Y745" i="8" s="1"/>
  <c r="Z745" i="8"/>
  <c r="Y517" i="6"/>
  <c r="Y517" i="8" s="1"/>
  <c r="Z517" i="8"/>
  <c r="Y821" i="6"/>
  <c r="Y821" i="8" s="1"/>
  <c r="Z821" i="8"/>
  <c r="Y593" i="6"/>
  <c r="Y593" i="8" s="1"/>
  <c r="Z593" i="8"/>
  <c r="AB745" i="8"/>
  <c r="AA745" i="6"/>
  <c r="AA745" i="8" s="1"/>
  <c r="AA517" i="6"/>
  <c r="AA517" i="8" s="1"/>
  <c r="AB517" i="8"/>
  <c r="Y669" i="6"/>
  <c r="Y669" i="8" s="1"/>
  <c r="Z669" i="8"/>
  <c r="AA669" i="6"/>
  <c r="AA669" i="8" s="1"/>
  <c r="AB669" i="8"/>
  <c r="V541" i="6"/>
  <c r="V541" i="8" s="1"/>
  <c r="M541" i="6"/>
  <c r="M541" i="8" s="1"/>
  <c r="D617" i="6"/>
  <c r="D617" i="8" s="1"/>
  <c r="D390" i="8"/>
  <c r="D466" i="6"/>
  <c r="M390" i="6"/>
  <c r="M390" i="8" s="1"/>
  <c r="Y576" i="6"/>
  <c r="Y576" i="8" s="1"/>
  <c r="D464" i="6"/>
  <c r="D464" i="8" s="1"/>
  <c r="V388" i="6"/>
  <c r="V388" i="8" s="1"/>
  <c r="M388" i="6"/>
  <c r="M388" i="8" s="1"/>
  <c r="AB575" i="6"/>
  <c r="AB575" i="8" s="1"/>
  <c r="AB653" i="6"/>
  <c r="AB653" i="8" s="1"/>
  <c r="Q653" i="8"/>
  <c r="Y653" i="6"/>
  <c r="Y653" i="8" s="1"/>
  <c r="O653" i="8"/>
  <c r="AA728" i="6"/>
  <c r="AA728" i="8" s="1"/>
  <c r="H728" i="8"/>
  <c r="X729" i="6"/>
  <c r="X729" i="8" s="1"/>
  <c r="F729" i="8"/>
  <c r="AB652" i="6"/>
  <c r="AB652" i="8" s="1"/>
  <c r="Q652" i="8"/>
  <c r="X652" i="6"/>
  <c r="X652" i="8" s="1"/>
  <c r="F652" i="8"/>
  <c r="AA727" i="6"/>
  <c r="AA727" i="8" s="1"/>
  <c r="H727" i="8"/>
  <c r="AA729" i="6"/>
  <c r="AA729" i="8" s="1"/>
  <c r="H729" i="8"/>
  <c r="AB651" i="6"/>
  <c r="AB651" i="8" s="1"/>
  <c r="Q651" i="8"/>
  <c r="X651" i="6"/>
  <c r="X651" i="8" s="1"/>
  <c r="F651" i="8"/>
  <c r="O652" i="6"/>
  <c r="F727" i="6"/>
  <c r="F728" i="6"/>
  <c r="O728" i="6" s="1"/>
  <c r="Y575" i="6"/>
  <c r="Y575" i="8" s="1"/>
  <c r="O651" i="6"/>
  <c r="Q729" i="6"/>
  <c r="H805" i="6"/>
  <c r="H805" i="8" s="1"/>
  <c r="Q728" i="6"/>
  <c r="H804" i="6"/>
  <c r="H804" i="8" s="1"/>
  <c r="Q727" i="6"/>
  <c r="H803" i="6"/>
  <c r="H803" i="8" s="1"/>
  <c r="F805" i="6"/>
  <c r="F805" i="8" s="1"/>
  <c r="O729" i="6"/>
  <c r="P4" i="6"/>
  <c r="P4" i="8" s="1"/>
  <c r="D693" i="6" l="1"/>
  <c r="D693" i="8" s="1"/>
  <c r="V617" i="6"/>
  <c r="V617" i="8" s="1"/>
  <c r="M617" i="6"/>
  <c r="M617" i="8" s="1"/>
  <c r="D466" i="8"/>
  <c r="V466" i="6"/>
  <c r="V466" i="8" s="1"/>
  <c r="D542" i="6"/>
  <c r="M466" i="6"/>
  <c r="M466" i="8" s="1"/>
  <c r="D540" i="6"/>
  <c r="D616" i="6" s="1"/>
  <c r="V464" i="6"/>
  <c r="V464" i="8" s="1"/>
  <c r="M464" i="6"/>
  <c r="M464" i="8" s="1"/>
  <c r="O728" i="8"/>
  <c r="AB727" i="6"/>
  <c r="AB727" i="8" s="1"/>
  <c r="Q727" i="8"/>
  <c r="X727" i="6"/>
  <c r="X727" i="8" s="1"/>
  <c r="F727" i="8"/>
  <c r="F803" i="6"/>
  <c r="F803" i="8" s="1"/>
  <c r="Y729" i="6"/>
  <c r="Y729" i="8" s="1"/>
  <c r="O729" i="8"/>
  <c r="Y652" i="6"/>
  <c r="Y652" i="8" s="1"/>
  <c r="O652" i="8"/>
  <c r="O727" i="6"/>
  <c r="AB728" i="6"/>
  <c r="AB728" i="8" s="1"/>
  <c r="Q728" i="8"/>
  <c r="X728" i="6"/>
  <c r="X728" i="8" s="1"/>
  <c r="F728" i="8"/>
  <c r="F804" i="6"/>
  <c r="F804" i="8" s="1"/>
  <c r="AB729" i="6"/>
  <c r="AB729" i="8" s="1"/>
  <c r="Q729" i="8"/>
  <c r="Y651" i="6"/>
  <c r="Y651" i="8" s="1"/>
  <c r="O651" i="8"/>
  <c r="Q805" i="6"/>
  <c r="Q805" i="8" s="1"/>
  <c r="AA805" i="6"/>
  <c r="AA805" i="8" s="1"/>
  <c r="Q804" i="6"/>
  <c r="Q804" i="8" s="1"/>
  <c r="AA804" i="6"/>
  <c r="AA804" i="8" s="1"/>
  <c r="Q803" i="6"/>
  <c r="Q803" i="8" s="1"/>
  <c r="AA803" i="6"/>
  <c r="AA803" i="8" s="1"/>
  <c r="O805" i="6"/>
  <c r="O805" i="8" s="1"/>
  <c r="X805" i="6"/>
  <c r="X805" i="8" s="1"/>
  <c r="D769" i="6"/>
  <c r="D769" i="8" s="1"/>
  <c r="V693" i="6" l="1"/>
  <c r="V693" i="8" s="1"/>
  <c r="M693" i="6"/>
  <c r="M693" i="8" s="1"/>
  <c r="M540" i="6"/>
  <c r="M540" i="8" s="1"/>
  <c r="D542" i="8"/>
  <c r="M542" i="6"/>
  <c r="M542" i="8" s="1"/>
  <c r="D618" i="6"/>
  <c r="V542" i="6"/>
  <c r="V542" i="8" s="1"/>
  <c r="D616" i="8"/>
  <c r="M616" i="6"/>
  <c r="M616" i="8" s="1"/>
  <c r="V616" i="6"/>
  <c r="V616" i="8" s="1"/>
  <c r="D540" i="8"/>
  <c r="V540" i="6"/>
  <c r="V540" i="8" s="1"/>
  <c r="D692" i="6"/>
  <c r="D692" i="8" s="1"/>
  <c r="X803" i="6"/>
  <c r="X803" i="8" s="1"/>
  <c r="O803" i="6"/>
  <c r="O803" i="8" s="1"/>
  <c r="O804" i="6"/>
  <c r="O804" i="8" s="1"/>
  <c r="Y728" i="6"/>
  <c r="Y728" i="8" s="1"/>
  <c r="Y727" i="6"/>
  <c r="Y727" i="8" s="1"/>
  <c r="O727" i="8"/>
  <c r="X804" i="6"/>
  <c r="X804" i="8" s="1"/>
  <c r="AB805" i="6"/>
  <c r="AB805" i="8" s="1"/>
  <c r="AB804" i="6"/>
  <c r="AB804" i="8" s="1"/>
  <c r="AB803" i="6"/>
  <c r="AB803" i="8" s="1"/>
  <c r="Y805" i="6"/>
  <c r="Y805" i="8" s="1"/>
  <c r="M769" i="6"/>
  <c r="M769" i="8" s="1"/>
  <c r="V769" i="6"/>
  <c r="V769" i="8" s="1"/>
  <c r="D618" i="8" l="1"/>
  <c r="V618" i="6"/>
  <c r="V618" i="8" s="1"/>
  <c r="D694" i="6"/>
  <c r="M618" i="6"/>
  <c r="M618" i="8" s="1"/>
  <c r="Y803" i="6"/>
  <c r="Y803" i="8" s="1"/>
  <c r="V692" i="6"/>
  <c r="V692" i="8" s="1"/>
  <c r="D768" i="6"/>
  <c r="D768" i="8" s="1"/>
  <c r="M692" i="6"/>
  <c r="M692" i="8" s="1"/>
  <c r="Y804" i="6"/>
  <c r="Y804" i="8" s="1"/>
  <c r="D7" i="6"/>
  <c r="D6" i="6"/>
  <c r="AH56" i="2"/>
  <c r="AH55" i="2"/>
  <c r="AH54" i="2"/>
  <c r="AH53" i="2"/>
  <c r="AH52" i="2"/>
  <c r="AH51" i="2"/>
  <c r="AH50" i="2"/>
  <c r="AH49" i="2"/>
  <c r="AH47" i="2"/>
  <c r="AH39" i="2"/>
  <c r="AH38" i="2"/>
  <c r="AH34" i="2"/>
  <c r="AH33" i="2"/>
  <c r="AH30" i="2"/>
  <c r="AH27" i="2"/>
  <c r="AH24" i="2"/>
  <c r="AH23" i="2"/>
  <c r="AH22" i="2"/>
  <c r="D694" i="8" l="1"/>
  <c r="D770" i="6"/>
  <c r="M694" i="6"/>
  <c r="M694" i="8" s="1"/>
  <c r="V694" i="6"/>
  <c r="V694" i="8" s="1"/>
  <c r="M768" i="6"/>
  <c r="M768" i="8" s="1"/>
  <c r="V768" i="6"/>
  <c r="V768" i="8" s="1"/>
  <c r="D82" i="6"/>
  <c r="D6" i="8"/>
  <c r="D83" i="6"/>
  <c r="D7" i="8"/>
  <c r="V7" i="6"/>
  <c r="V7" i="8" s="1"/>
  <c r="M7" i="6"/>
  <c r="M7" i="8" s="1"/>
  <c r="M6" i="6"/>
  <c r="M6" i="8" s="1"/>
  <c r="V6" i="6"/>
  <c r="V6" i="8" s="1"/>
  <c r="D82" i="8" l="1"/>
  <c r="D158" i="6"/>
  <c r="D158" i="8" s="1"/>
  <c r="D83" i="8"/>
  <c r="D159" i="6"/>
  <c r="D159" i="8" s="1"/>
  <c r="D770" i="8"/>
  <c r="V770" i="6"/>
  <c r="V770" i="8" s="1"/>
  <c r="M770" i="6"/>
  <c r="M770" i="8" s="1"/>
  <c r="V82" i="6"/>
  <c r="V82" i="8" s="1"/>
  <c r="M82" i="6"/>
  <c r="M82" i="8" s="1"/>
  <c r="V83" i="6"/>
  <c r="V83" i="8" s="1"/>
  <c r="M83" i="6"/>
  <c r="M83" i="8" s="1"/>
  <c r="M159" i="6" l="1"/>
  <c r="M159" i="8" s="1"/>
  <c r="V159" i="6"/>
  <c r="V159" i="8" s="1"/>
  <c r="V158" i="6"/>
  <c r="V158" i="8" s="1"/>
  <c r="M158" i="6"/>
  <c r="M158" i="8" s="1"/>
  <c r="D234" i="6"/>
  <c r="D310" i="6" s="1"/>
  <c r="D235" i="6"/>
  <c r="V235" i="6" s="1"/>
  <c r="V235" i="8" s="1"/>
  <c r="AC23" i="2"/>
  <c r="AC24" i="2"/>
  <c r="AC27" i="2"/>
  <c r="AC30" i="2"/>
  <c r="AC33" i="2"/>
  <c r="AC34" i="2"/>
  <c r="AC38" i="2"/>
  <c r="AC39" i="2"/>
  <c r="AC47" i="2"/>
  <c r="AC49" i="2"/>
  <c r="AC50" i="2"/>
  <c r="AC51" i="2"/>
  <c r="AC52" i="2"/>
  <c r="AC53" i="2"/>
  <c r="AC54" i="2"/>
  <c r="AC55" i="2"/>
  <c r="AC56" i="2"/>
  <c r="AC22" i="2"/>
  <c r="X23" i="2"/>
  <c r="X24" i="2"/>
  <c r="X27" i="2"/>
  <c r="X30" i="2"/>
  <c r="X33" i="2"/>
  <c r="X34" i="2"/>
  <c r="X38" i="2"/>
  <c r="X39" i="2"/>
  <c r="X47" i="2"/>
  <c r="X49" i="2"/>
  <c r="X50" i="2"/>
  <c r="X51" i="2"/>
  <c r="X52" i="2"/>
  <c r="X53" i="2"/>
  <c r="X54" i="2"/>
  <c r="X55" i="2"/>
  <c r="X56" i="2"/>
  <c r="X22" i="2"/>
  <c r="M234" i="6" l="1"/>
  <c r="M234" i="8" s="1"/>
  <c r="D310" i="8"/>
  <c r="D386" i="6"/>
  <c r="D386" i="8" s="1"/>
  <c r="V310" i="6"/>
  <c r="V310" i="8" s="1"/>
  <c r="V234" i="6"/>
  <c r="V234" i="8" s="1"/>
  <c r="M235" i="6"/>
  <c r="M235" i="8" s="1"/>
  <c r="D234" i="8"/>
  <c r="D311" i="6"/>
  <c r="D235" i="8"/>
  <c r="M310" i="6"/>
  <c r="M310" i="8" s="1"/>
  <c r="S23" i="2"/>
  <c r="S24" i="2"/>
  <c r="S27" i="2"/>
  <c r="S30" i="2"/>
  <c r="S33" i="2"/>
  <c r="S34" i="2"/>
  <c r="S38" i="2"/>
  <c r="S39" i="2"/>
  <c r="S47" i="2"/>
  <c r="S49" i="2"/>
  <c r="S50" i="2"/>
  <c r="S51" i="2"/>
  <c r="S52" i="2"/>
  <c r="S53" i="2"/>
  <c r="S54" i="2"/>
  <c r="S55" i="2"/>
  <c r="S56" i="2"/>
  <c r="S22" i="2"/>
  <c r="N24" i="2"/>
  <c r="N27" i="2"/>
  <c r="N30" i="2"/>
  <c r="N33" i="2"/>
  <c r="N34" i="2"/>
  <c r="N38" i="2"/>
  <c r="N39" i="2"/>
  <c r="N47" i="2"/>
  <c r="N49" i="2"/>
  <c r="N50" i="2"/>
  <c r="N51" i="2"/>
  <c r="N52" i="2"/>
  <c r="N53" i="2"/>
  <c r="N54" i="2"/>
  <c r="N55" i="2"/>
  <c r="N56" i="2"/>
  <c r="N22" i="2"/>
  <c r="F7" i="2"/>
  <c r="N26" i="2" s="1"/>
  <c r="F8" i="2"/>
  <c r="N35" i="2" s="1"/>
  <c r="F9" i="2"/>
  <c r="I9" i="2" s="1"/>
  <c r="L9" i="2" s="1"/>
  <c r="O9" i="2" s="1"/>
  <c r="R9" i="2" s="1"/>
  <c r="U9" i="2" s="1"/>
  <c r="X9" i="2" s="1"/>
  <c r="AA9" i="2" s="1"/>
  <c r="AD9" i="2" s="1"/>
  <c r="AG9" i="2" s="1"/>
  <c r="F10" i="2"/>
  <c r="N37" i="2" s="1"/>
  <c r="F14" i="2"/>
  <c r="I14" i="2" s="1"/>
  <c r="L14" i="2" s="1"/>
  <c r="X29" i="2" s="1"/>
  <c r="F6" i="2"/>
  <c r="N28" i="2" s="1"/>
  <c r="O35" i="2" l="1"/>
  <c r="P35" i="2"/>
  <c r="O37" i="2"/>
  <c r="P37" i="2"/>
  <c r="D462" i="6"/>
  <c r="D462" i="8" s="1"/>
  <c r="N44" i="2"/>
  <c r="N43" i="2"/>
  <c r="N36" i="2"/>
  <c r="N42" i="2"/>
  <c r="M386" i="6"/>
  <c r="M386" i="8" s="1"/>
  <c r="V386" i="6"/>
  <c r="V386" i="8" s="1"/>
  <c r="D311" i="8"/>
  <c r="M311" i="6"/>
  <c r="M311" i="8" s="1"/>
  <c r="V311" i="6"/>
  <c r="V311" i="8" s="1"/>
  <c r="D387" i="6"/>
  <c r="P28" i="2"/>
  <c r="O28" i="2"/>
  <c r="N41" i="2"/>
  <c r="N25" i="2"/>
  <c r="I8" i="2"/>
  <c r="L8" i="2" s="1"/>
  <c r="X35" i="2" s="1"/>
  <c r="I7" i="2"/>
  <c r="L7" i="2" s="1"/>
  <c r="O7" i="2" s="1"/>
  <c r="R7" i="2" s="1"/>
  <c r="AH40" i="2" s="1"/>
  <c r="N29" i="2"/>
  <c r="I6" i="2"/>
  <c r="N40" i="2"/>
  <c r="N45" i="2"/>
  <c r="I10" i="2"/>
  <c r="S37" i="2" s="1"/>
  <c r="O14" i="2"/>
  <c r="S29" i="2"/>
  <c r="Z35" i="2" l="1"/>
  <c r="Y35" i="2"/>
  <c r="U37" i="2"/>
  <c r="T37" i="2"/>
  <c r="O36" i="2"/>
  <c r="P36" i="2"/>
  <c r="D538" i="6"/>
  <c r="D538" i="8" s="1"/>
  <c r="M462" i="6"/>
  <c r="M462" i="8" s="1"/>
  <c r="V462" i="6"/>
  <c r="V462" i="8" s="1"/>
  <c r="D387" i="8"/>
  <c r="V387" i="6"/>
  <c r="V387" i="8" s="1"/>
  <c r="D463" i="6"/>
  <c r="M387" i="6"/>
  <c r="M387" i="8" s="1"/>
  <c r="S101" i="2"/>
  <c r="S43" i="2"/>
  <c r="S42" i="2"/>
  <c r="O8" i="2"/>
  <c r="R8" i="2" s="1"/>
  <c r="O99" i="6"/>
  <c r="M58" i="5"/>
  <c r="Q99" i="6"/>
  <c r="N58" i="5"/>
  <c r="AH26" i="2"/>
  <c r="L10" i="2"/>
  <c r="X37" i="2" s="1"/>
  <c r="AC26" i="2"/>
  <c r="P25" i="2"/>
  <c r="O25" i="2"/>
  <c r="X26" i="2"/>
  <c r="S28" i="2"/>
  <c r="L6" i="2"/>
  <c r="X28" i="2" s="1"/>
  <c r="S41" i="2"/>
  <c r="S35" i="2"/>
  <c r="X25" i="2"/>
  <c r="S40" i="2"/>
  <c r="AC25" i="2"/>
  <c r="S36" i="2"/>
  <c r="U7" i="2"/>
  <c r="AH25" i="2"/>
  <c r="X41" i="2"/>
  <c r="AC41" i="2"/>
  <c r="S26" i="2"/>
  <c r="AH41" i="2"/>
  <c r="S25" i="2"/>
  <c r="X40" i="2"/>
  <c r="AC40" i="2"/>
  <c r="S44" i="2"/>
  <c r="S45" i="2"/>
  <c r="AC29" i="2"/>
  <c r="R14" i="2"/>
  <c r="Z37" i="2" l="1"/>
  <c r="Y37" i="2"/>
  <c r="U35" i="2"/>
  <c r="T35" i="2"/>
  <c r="Q99" i="8"/>
  <c r="O99" i="8"/>
  <c r="T36" i="2"/>
  <c r="U36" i="2"/>
  <c r="V538" i="6"/>
  <c r="V538" i="8" s="1"/>
  <c r="M538" i="6"/>
  <c r="M538" i="8" s="1"/>
  <c r="D614" i="6"/>
  <c r="D614" i="8" s="1"/>
  <c r="X36" i="2"/>
  <c r="D463" i="8"/>
  <c r="M463" i="6"/>
  <c r="M463" i="8" s="1"/>
  <c r="D539" i="6"/>
  <c r="V463" i="6"/>
  <c r="V463" i="8" s="1"/>
  <c r="AC35" i="2"/>
  <c r="X43" i="2"/>
  <c r="X42" i="2"/>
  <c r="F23" i="1"/>
  <c r="F20" i="1"/>
  <c r="X44" i="2"/>
  <c r="X101" i="2"/>
  <c r="O96" i="6"/>
  <c r="M55" i="5"/>
  <c r="Q96" i="6"/>
  <c r="N55" i="5"/>
  <c r="O10" i="2"/>
  <c r="X45" i="2"/>
  <c r="AM26" i="2"/>
  <c r="AM25" i="2"/>
  <c r="AM41" i="2"/>
  <c r="AM40" i="2"/>
  <c r="U25" i="2"/>
  <c r="W22" i="2" s="1"/>
  <c r="T25" i="2"/>
  <c r="V22" i="2" s="1"/>
  <c r="Z25" i="2"/>
  <c r="AB22" i="2" s="1"/>
  <c r="Y25" i="2"/>
  <c r="AA22" i="2" s="1"/>
  <c r="U28" i="2"/>
  <c r="T28" i="2"/>
  <c r="Y28" i="2"/>
  <c r="Z28" i="2"/>
  <c r="AJ25" i="2"/>
  <c r="AL22" i="2" s="1"/>
  <c r="AI25" i="2"/>
  <c r="AK22" i="2" s="1"/>
  <c r="AE25" i="2"/>
  <c r="AG22" i="2" s="1"/>
  <c r="AD25" i="2"/>
  <c r="AF22" i="2" s="1"/>
  <c r="O6" i="2"/>
  <c r="R6" i="2" s="1"/>
  <c r="X7" i="2"/>
  <c r="AH29" i="2"/>
  <c r="U14" i="2"/>
  <c r="AM29" i="2" s="1"/>
  <c r="AH35" i="2"/>
  <c r="U8" i="2"/>
  <c r="AM35" i="2" s="1"/>
  <c r="AB28" i="2" l="1"/>
  <c r="AB27" i="2" s="1"/>
  <c r="AB47" i="2" s="1"/>
  <c r="AA28" i="2"/>
  <c r="AA27" i="2" s="1"/>
  <c r="AA47" i="2" s="1"/>
  <c r="W28" i="2"/>
  <c r="W27" i="2" s="1"/>
  <c r="W47" i="2" s="1"/>
  <c r="V28" i="2"/>
  <c r="V27" i="2" s="1"/>
  <c r="V47" i="2" s="1"/>
  <c r="AO35" i="2"/>
  <c r="AN35" i="2"/>
  <c r="AJ35" i="2"/>
  <c r="AI35" i="2"/>
  <c r="AE35" i="2"/>
  <c r="AD35" i="2"/>
  <c r="Q96" i="8"/>
  <c r="O96" i="8"/>
  <c r="Y36" i="2"/>
  <c r="Z36" i="2"/>
  <c r="AC36" i="2"/>
  <c r="AC37" i="2"/>
  <c r="M614" i="6"/>
  <c r="M614" i="8" s="1"/>
  <c r="D690" i="6"/>
  <c r="D690" i="8" s="1"/>
  <c r="V614" i="6"/>
  <c r="V614" i="8" s="1"/>
  <c r="D539" i="8"/>
  <c r="M539" i="6"/>
  <c r="M539" i="8" s="1"/>
  <c r="D615" i="6"/>
  <c r="V539" i="6"/>
  <c r="V539" i="8" s="1"/>
  <c r="AC101" i="2"/>
  <c r="AC43" i="2"/>
  <c r="AC42" i="2"/>
  <c r="AC55" i="5"/>
  <c r="O400" i="6"/>
  <c r="O400" i="8" s="1"/>
  <c r="AD55" i="5"/>
  <c r="Q400" i="6"/>
  <c r="Q400" i="8" s="1"/>
  <c r="Z55" i="5"/>
  <c r="Q324" i="6"/>
  <c r="Q324" i="8" s="1"/>
  <c r="Y55" i="5"/>
  <c r="O324" i="6"/>
  <c r="O324" i="8" s="1"/>
  <c r="Q251" i="6"/>
  <c r="Q251" i="8" s="1"/>
  <c r="V58" i="5"/>
  <c r="O251" i="6"/>
  <c r="O251" i="8" s="1"/>
  <c r="U58" i="5"/>
  <c r="V55" i="5"/>
  <c r="Q248" i="6"/>
  <c r="Q248" i="8" s="1"/>
  <c r="U55" i="5"/>
  <c r="O248" i="6"/>
  <c r="O248" i="8" s="1"/>
  <c r="O175" i="6"/>
  <c r="O175" i="8" s="1"/>
  <c r="Q58" i="5"/>
  <c r="O172" i="6"/>
  <c r="O172" i="8" s="1"/>
  <c r="Q55" i="5"/>
  <c r="R55" i="5"/>
  <c r="Q172" i="6"/>
  <c r="Q172" i="8" s="1"/>
  <c r="Q175" i="6"/>
  <c r="Q175" i="8" s="1"/>
  <c r="R58" i="5"/>
  <c r="AC28" i="2"/>
  <c r="R10" i="2"/>
  <c r="AH37" i="2" s="1"/>
  <c r="AC44" i="2"/>
  <c r="AC45" i="2"/>
  <c r="AO25" i="2"/>
  <c r="AQ22" i="2" s="1"/>
  <c r="AN25" i="2"/>
  <c r="AP22" i="2" s="1"/>
  <c r="AA7" i="2"/>
  <c r="AR25" i="2"/>
  <c r="AR41" i="2"/>
  <c r="AR40" i="2"/>
  <c r="AR26" i="2"/>
  <c r="X8" i="2"/>
  <c r="X14" i="2"/>
  <c r="AH28" i="2"/>
  <c r="U6" i="2"/>
  <c r="AM28" i="2" s="1"/>
  <c r="J25" i="4"/>
  <c r="J24" i="4"/>
  <c r="AE37" i="2" l="1"/>
  <c r="AD37" i="2"/>
  <c r="AJ37" i="2"/>
  <c r="AI37" i="2"/>
  <c r="AD36" i="2"/>
  <c r="AE36" i="2"/>
  <c r="V690" i="6"/>
  <c r="V690" i="8" s="1"/>
  <c r="D766" i="6"/>
  <c r="D766" i="8" s="1"/>
  <c r="M690" i="6"/>
  <c r="M690" i="8" s="1"/>
  <c r="AH36" i="2"/>
  <c r="BL19" i="2"/>
  <c r="BL57" i="2" s="1"/>
  <c r="D615" i="8"/>
  <c r="M615" i="6"/>
  <c r="M615" i="8" s="1"/>
  <c r="D691" i="6"/>
  <c r="V615" i="6"/>
  <c r="V615" i="8" s="1"/>
  <c r="AH101" i="2"/>
  <c r="AH42" i="2"/>
  <c r="AH43" i="2"/>
  <c r="AG55" i="5"/>
  <c r="O476" i="6"/>
  <c r="O476" i="8" s="1"/>
  <c r="AH55" i="5"/>
  <c r="Q476" i="6"/>
  <c r="Q476" i="8" s="1"/>
  <c r="AD28" i="2"/>
  <c r="AE28" i="2"/>
  <c r="AH44" i="2"/>
  <c r="AH45" i="2"/>
  <c r="U10" i="2"/>
  <c r="AM37" i="2" s="1"/>
  <c r="E44" i="4"/>
  <c r="F44" i="4" s="1"/>
  <c r="G44" i="4" s="1"/>
  <c r="H44" i="4" s="1"/>
  <c r="I44" i="4" s="1"/>
  <c r="J44" i="4" s="1"/>
  <c r="K44" i="4" s="1"/>
  <c r="L44" i="4" s="1"/>
  <c r="M44" i="4" s="1"/>
  <c r="N44" i="4" s="1"/>
  <c r="O44" i="4" s="1"/>
  <c r="AA14" i="2"/>
  <c r="AR29" i="2"/>
  <c r="AA8" i="2"/>
  <c r="AR35" i="2"/>
  <c r="AS25" i="2"/>
  <c r="AU22" i="2" s="1"/>
  <c r="AT25" i="2"/>
  <c r="AV22" i="2" s="1"/>
  <c r="AO28" i="2"/>
  <c r="AN28" i="2"/>
  <c r="AJ28" i="2"/>
  <c r="AI28" i="2"/>
  <c r="AD7" i="2"/>
  <c r="AW40" i="2"/>
  <c r="AW25" i="2"/>
  <c r="AW41" i="2"/>
  <c r="AW26" i="2"/>
  <c r="X6" i="2"/>
  <c r="D4" i="6"/>
  <c r="AT35" i="2" l="1"/>
  <c r="AS35" i="2"/>
  <c r="AG28" i="2"/>
  <c r="AG27" i="2" s="1"/>
  <c r="AG47" i="2" s="1"/>
  <c r="AF28" i="2"/>
  <c r="AF27" i="2" s="1"/>
  <c r="AF47" i="2" s="1"/>
  <c r="AK28" i="2"/>
  <c r="AK27" i="2" s="1"/>
  <c r="AK47" i="2" s="1"/>
  <c r="AN37" i="2"/>
  <c r="AO37" i="2"/>
  <c r="AL28" i="2"/>
  <c r="AL27" i="2" s="1"/>
  <c r="AL47" i="2" s="1"/>
  <c r="AP28" i="2"/>
  <c r="AP27" i="2" s="1"/>
  <c r="AP47" i="2" s="1"/>
  <c r="AQ28" i="2"/>
  <c r="AQ27" i="2" s="1"/>
  <c r="AQ47" i="2" s="1"/>
  <c r="Z58" i="5"/>
  <c r="Q327" i="6"/>
  <c r="Q327" i="8" s="1"/>
  <c r="O327" i="6"/>
  <c r="O327" i="8" s="1"/>
  <c r="AI36" i="2"/>
  <c r="AJ36" i="2"/>
  <c r="D4" i="8"/>
  <c r="V766" i="6"/>
  <c r="V766" i="8" s="1"/>
  <c r="M766" i="6"/>
  <c r="M766" i="8" s="1"/>
  <c r="AM36" i="2"/>
  <c r="BM57" i="2"/>
  <c r="D691" i="8"/>
  <c r="M691" i="6"/>
  <c r="M691" i="8" s="1"/>
  <c r="V691" i="6"/>
  <c r="V691" i="8" s="1"/>
  <c r="D767" i="6"/>
  <c r="AM101" i="2"/>
  <c r="AM42" i="2"/>
  <c r="AM43" i="2"/>
  <c r="Y58" i="5"/>
  <c r="AD58" i="5"/>
  <c r="Q403" i="6"/>
  <c r="Q403" i="8" s="1"/>
  <c r="O403" i="6"/>
  <c r="O403" i="8" s="1"/>
  <c r="AC58" i="5"/>
  <c r="Q552" i="6"/>
  <c r="Q552" i="8" s="1"/>
  <c r="AL55" i="5"/>
  <c r="O552" i="6"/>
  <c r="O552" i="8" s="1"/>
  <c r="AK55" i="5"/>
  <c r="O479" i="6"/>
  <c r="O479" i="8" s="1"/>
  <c r="AG58" i="5"/>
  <c r="AH58" i="5"/>
  <c r="Q479" i="6"/>
  <c r="Q479" i="8" s="1"/>
  <c r="M4" i="6"/>
  <c r="D80" i="6"/>
  <c r="AM44" i="2"/>
  <c r="X10" i="2"/>
  <c r="AR37" i="2" s="1"/>
  <c r="AM45" i="2"/>
  <c r="AX25" i="2"/>
  <c r="AZ22" i="2" s="1"/>
  <c r="AY25" i="2"/>
  <c r="BA22" i="2" s="1"/>
  <c r="AA6" i="2"/>
  <c r="AR28" i="2"/>
  <c r="AD8" i="2"/>
  <c r="AW35" i="2"/>
  <c r="AG7" i="2"/>
  <c r="BB25" i="2"/>
  <c r="BB41" i="2"/>
  <c r="BB40" i="2"/>
  <c r="BB26" i="2"/>
  <c r="AD14" i="2"/>
  <c r="AW29" i="2"/>
  <c r="B35" i="5"/>
  <c r="B34" i="5"/>
  <c r="B33" i="5"/>
  <c r="B32" i="5"/>
  <c r="B31" i="5"/>
  <c r="B30" i="5"/>
  <c r="AY35" i="2" l="1"/>
  <c r="AX35" i="2"/>
  <c r="AT37" i="2"/>
  <c r="AS37" i="2"/>
  <c r="H138" i="6"/>
  <c r="G138" i="6"/>
  <c r="G137" i="6"/>
  <c r="H137" i="6"/>
  <c r="AN36" i="2"/>
  <c r="AO36" i="2"/>
  <c r="D156" i="6"/>
  <c r="D80" i="8"/>
  <c r="AR36" i="2"/>
  <c r="D767" i="8"/>
  <c r="M767" i="6"/>
  <c r="M767" i="8" s="1"/>
  <c r="V767" i="6"/>
  <c r="V767" i="8" s="1"/>
  <c r="W4" i="6"/>
  <c r="W14" i="6" s="1"/>
  <c r="W14" i="8" s="1"/>
  <c r="M4" i="8"/>
  <c r="AR101" i="2"/>
  <c r="AR42" i="2"/>
  <c r="AR43" i="2"/>
  <c r="AO55" i="5"/>
  <c r="O628" i="6"/>
  <c r="Q628" i="6"/>
  <c r="AP55" i="5"/>
  <c r="Q14" i="6"/>
  <c r="Q14" i="8" s="1"/>
  <c r="N14" i="6"/>
  <c r="N14" i="8" s="1"/>
  <c r="H90" i="6"/>
  <c r="H90" i="8" s="1"/>
  <c r="W80" i="6"/>
  <c r="W80" i="8" s="1"/>
  <c r="M80" i="6"/>
  <c r="M80" i="8" s="1"/>
  <c r="F90" i="6"/>
  <c r="F90" i="8" s="1"/>
  <c r="E90" i="6"/>
  <c r="E90" i="8" s="1"/>
  <c r="G90" i="6"/>
  <c r="G90" i="8" s="1"/>
  <c r="P14" i="6"/>
  <c r="P14" i="8" s="1"/>
  <c r="O14" i="6"/>
  <c r="O14" i="8" s="1"/>
  <c r="AA10" i="2"/>
  <c r="AW37" i="2" s="1"/>
  <c r="AR44" i="2"/>
  <c r="AR45" i="2"/>
  <c r="AG14" i="2"/>
  <c r="BB29" i="2"/>
  <c r="BG26" i="2"/>
  <c r="BG40" i="2"/>
  <c r="BG41" i="2"/>
  <c r="BG25" i="2"/>
  <c r="AT28" i="2"/>
  <c r="AS28" i="2"/>
  <c r="BD25" i="2"/>
  <c r="BF22" i="2" s="1"/>
  <c r="BC25" i="2"/>
  <c r="BE22" i="2" s="1"/>
  <c r="AG8" i="2"/>
  <c r="BB35" i="2"/>
  <c r="AD6" i="2"/>
  <c r="AW28" i="2"/>
  <c r="N32" i="2"/>
  <c r="N31" i="2"/>
  <c r="BC35" i="2" l="1"/>
  <c r="BD35" i="2"/>
  <c r="AU28" i="2"/>
  <c r="AU27" i="2" s="1"/>
  <c r="AU47" i="2" s="1"/>
  <c r="AV28" i="2"/>
  <c r="AV27" i="2" s="1"/>
  <c r="AV47" i="2" s="1"/>
  <c r="AX37" i="2"/>
  <c r="AY37" i="2"/>
  <c r="H137" i="8"/>
  <c r="AB137" i="6"/>
  <c r="G138" i="8"/>
  <c r="Z138" i="6"/>
  <c r="G137" i="8"/>
  <c r="Z137" i="6"/>
  <c r="H138" i="8"/>
  <c r="AB138" i="6"/>
  <c r="Q628" i="8"/>
  <c r="AA628" i="6"/>
  <c r="O628" i="8"/>
  <c r="X628" i="6"/>
  <c r="G213" i="6"/>
  <c r="Z213" i="6" s="1"/>
  <c r="H213" i="6"/>
  <c r="AB213" i="6" s="1"/>
  <c r="G136" i="6"/>
  <c r="H136" i="6"/>
  <c r="AS36" i="2"/>
  <c r="AT36" i="2"/>
  <c r="G166" i="6"/>
  <c r="G166" i="8" s="1"/>
  <c r="W156" i="6"/>
  <c r="W156" i="8" s="1"/>
  <c r="H166" i="6"/>
  <c r="H166" i="8" s="1"/>
  <c r="M156" i="6"/>
  <c r="E166" i="6"/>
  <c r="E166" i="8" s="1"/>
  <c r="F166" i="6"/>
  <c r="F166" i="8" s="1"/>
  <c r="D156" i="8"/>
  <c r="AW36" i="2"/>
  <c r="AB14" i="6"/>
  <c r="AB14" i="8" s="1"/>
  <c r="X14" i="6"/>
  <c r="X14" i="8" s="1"/>
  <c r="AB74" i="6"/>
  <c r="AB74" i="8" s="1"/>
  <c r="Z14" i="6"/>
  <c r="Z14" i="8" s="1"/>
  <c r="AA74" i="6"/>
  <c r="AA74" i="8" s="1"/>
  <c r="W4" i="8"/>
  <c r="AA14" i="6"/>
  <c r="AA14" i="8" s="1"/>
  <c r="Y74" i="6"/>
  <c r="Y74" i="8" s="1"/>
  <c r="Z74" i="6"/>
  <c r="Z74" i="8" s="1"/>
  <c r="Y14" i="6"/>
  <c r="AW101" i="2"/>
  <c r="AW43" i="2"/>
  <c r="AW42" i="2"/>
  <c r="AT55" i="5"/>
  <c r="Q704" i="6"/>
  <c r="AS55" i="5"/>
  <c r="O704" i="6"/>
  <c r="O704" i="8" s="1"/>
  <c r="O555" i="6"/>
  <c r="O555" i="8" s="1"/>
  <c r="AK58" i="5"/>
  <c r="AL58" i="5"/>
  <c r="Q555" i="6"/>
  <c r="Q555" i="8" s="1"/>
  <c r="D232" i="6"/>
  <c r="AA150" i="6"/>
  <c r="AA150" i="8" s="1"/>
  <c r="Z150" i="6"/>
  <c r="Z150" i="8" s="1"/>
  <c r="Y150" i="6"/>
  <c r="Y150" i="8" s="1"/>
  <c r="AB150" i="6"/>
  <c r="AB150" i="8" s="1"/>
  <c r="AB90" i="6"/>
  <c r="AB90" i="8" s="1"/>
  <c r="W90" i="6"/>
  <c r="W90" i="8" s="1"/>
  <c r="X90" i="6"/>
  <c r="X90" i="8" s="1"/>
  <c r="AA90" i="6"/>
  <c r="AA90" i="8" s="1"/>
  <c r="Y90" i="6"/>
  <c r="AG108" i="6" s="1"/>
  <c r="AH108" i="6" s="1"/>
  <c r="Z90" i="6"/>
  <c r="Z90" i="8" s="1"/>
  <c r="Q90" i="6"/>
  <c r="Q90" i="8" s="1"/>
  <c r="O90" i="6"/>
  <c r="O90" i="8" s="1"/>
  <c r="P90" i="6"/>
  <c r="P90" i="8" s="1"/>
  <c r="N90" i="6"/>
  <c r="N90" i="8" s="1"/>
  <c r="AW44" i="2"/>
  <c r="AW45" i="2"/>
  <c r="AD10" i="2"/>
  <c r="BG35" i="2"/>
  <c r="AY28" i="2"/>
  <c r="AX28" i="2"/>
  <c r="AG6" i="2"/>
  <c r="BB28" i="2"/>
  <c r="BG29" i="2"/>
  <c r="BH25" i="2"/>
  <c r="BJ22" i="2" s="1"/>
  <c r="BI25" i="2"/>
  <c r="BK22" i="2" s="1"/>
  <c r="S32" i="2"/>
  <c r="S31" i="2"/>
  <c r="BA28" i="2" l="1"/>
  <c r="BA27" i="2" s="1"/>
  <c r="BA47" i="2" s="1"/>
  <c r="BI35" i="2"/>
  <c r="BH35" i="2"/>
  <c r="AZ28" i="2"/>
  <c r="AZ27" i="2" s="1"/>
  <c r="AZ47" i="2" s="1"/>
  <c r="H136" i="8"/>
  <c r="G136" i="8"/>
  <c r="Q704" i="8"/>
  <c r="G213" i="8"/>
  <c r="H213" i="8"/>
  <c r="AX36" i="2"/>
  <c r="AY36" i="2"/>
  <c r="O166" i="6"/>
  <c r="O166" i="8" s="1"/>
  <c r="N166" i="6"/>
  <c r="N166" i="8" s="1"/>
  <c r="Q166" i="6"/>
  <c r="Q166" i="8" s="1"/>
  <c r="P166" i="6"/>
  <c r="P166" i="8" s="1"/>
  <c r="M156" i="8"/>
  <c r="X166" i="6"/>
  <c r="X166" i="8" s="1"/>
  <c r="Z166" i="6"/>
  <c r="Z166" i="8" s="1"/>
  <c r="AA166" i="6"/>
  <c r="AA166" i="8" s="1"/>
  <c r="W166" i="6"/>
  <c r="W166" i="8" s="1"/>
  <c r="AB166" i="6"/>
  <c r="AB166" i="8" s="1"/>
  <c r="Y166" i="6"/>
  <c r="AG184" i="6" s="1"/>
  <c r="AH184" i="6" s="1"/>
  <c r="D232" i="8"/>
  <c r="BB36" i="2"/>
  <c r="BB37" i="2"/>
  <c r="Y90" i="8"/>
  <c r="AG32" i="6"/>
  <c r="AH32" i="6" s="1"/>
  <c r="Y14" i="8"/>
  <c r="BB101" i="2"/>
  <c r="BB43" i="2"/>
  <c r="BB42" i="2"/>
  <c r="O780" i="6"/>
  <c r="O780" i="8" s="1"/>
  <c r="AW55" i="5"/>
  <c r="Q780" i="6"/>
  <c r="Q780" i="8" s="1"/>
  <c r="AX55" i="5"/>
  <c r="AP58" i="5"/>
  <c r="Q631" i="6"/>
  <c r="AO58" i="5"/>
  <c r="O631" i="6"/>
  <c r="E242" i="6"/>
  <c r="E242" i="8" s="1"/>
  <c r="D308" i="6"/>
  <c r="M232" i="6"/>
  <c r="M232" i="8" s="1"/>
  <c r="W232" i="6"/>
  <c r="W232" i="8" s="1"/>
  <c r="G242" i="6"/>
  <c r="G242" i="8" s="1"/>
  <c r="F242" i="6"/>
  <c r="F242" i="8" s="1"/>
  <c r="H242" i="6"/>
  <c r="H242" i="8" s="1"/>
  <c r="AB226" i="6"/>
  <c r="AB226" i="8" s="1"/>
  <c r="Z226" i="6"/>
  <c r="Z226" i="8" s="1"/>
  <c r="AA226" i="6"/>
  <c r="AA226" i="8" s="1"/>
  <c r="Y226" i="6"/>
  <c r="Y226" i="8" s="1"/>
  <c r="AG10" i="2"/>
  <c r="BG37" i="2" s="1"/>
  <c r="BB45" i="2"/>
  <c r="BB44" i="2"/>
  <c r="BC28" i="2"/>
  <c r="BD28" i="2"/>
  <c r="BG28" i="2"/>
  <c r="X31" i="2"/>
  <c r="X32" i="2"/>
  <c r="BE28" i="2" l="1"/>
  <c r="BE27" i="2" s="1"/>
  <c r="BE47" i="2" s="1"/>
  <c r="BI37" i="2"/>
  <c r="BH37" i="2"/>
  <c r="BD37" i="2"/>
  <c r="BC37" i="2"/>
  <c r="BF28" i="2"/>
  <c r="BF27" i="2" s="1"/>
  <c r="BF47" i="2" s="1"/>
  <c r="Q631" i="8"/>
  <c r="AA631" i="6"/>
  <c r="O631" i="8"/>
  <c r="X631" i="6"/>
  <c r="AA213" i="6"/>
  <c r="AA213" i="8" s="1"/>
  <c r="AB213" i="8"/>
  <c r="Y213" i="6"/>
  <c r="Y213" i="8" s="1"/>
  <c r="Z213" i="8"/>
  <c r="G365" i="6"/>
  <c r="Z365" i="6" s="1"/>
  <c r="H365" i="6"/>
  <c r="AB365" i="6" s="1"/>
  <c r="H342" i="6"/>
  <c r="AA342" i="6" s="1"/>
  <c r="BC36" i="2"/>
  <c r="BD36" i="2"/>
  <c r="D308" i="8"/>
  <c r="BG36" i="2"/>
  <c r="Y166" i="8"/>
  <c r="BG101" i="2"/>
  <c r="BG42" i="2"/>
  <c r="BG43" i="2"/>
  <c r="O707" i="6"/>
  <c r="O707" i="8" s="1"/>
  <c r="AS58" i="5"/>
  <c r="Q707" i="6"/>
  <c r="AT58" i="5"/>
  <c r="Y242" i="6"/>
  <c r="AG260" i="6" s="1"/>
  <c r="AH260" i="6" s="1"/>
  <c r="W242" i="6"/>
  <c r="W242" i="8" s="1"/>
  <c r="X242" i="6"/>
  <c r="X242" i="8" s="1"/>
  <c r="Z302" i="6"/>
  <c r="Z302" i="8" s="1"/>
  <c r="AB302" i="6"/>
  <c r="AB302" i="8" s="1"/>
  <c r="AB242" i="6"/>
  <c r="AB242" i="8" s="1"/>
  <c r="Z242" i="6"/>
  <c r="Z242" i="8" s="1"/>
  <c r="AA302" i="6"/>
  <c r="AA302" i="8" s="1"/>
  <c r="AA242" i="6"/>
  <c r="AA242" i="8" s="1"/>
  <c r="Y302" i="6"/>
  <c r="Y302" i="8" s="1"/>
  <c r="N242" i="6"/>
  <c r="N242" i="8" s="1"/>
  <c r="Q242" i="6"/>
  <c r="Q242" i="8" s="1"/>
  <c r="P242" i="6"/>
  <c r="P242" i="8" s="1"/>
  <c r="O242" i="6"/>
  <c r="O242" i="8" s="1"/>
  <c r="D384" i="6"/>
  <c r="H318" i="6"/>
  <c r="H318" i="8" s="1"/>
  <c r="E318" i="6"/>
  <c r="E318" i="8" s="1"/>
  <c r="M308" i="6"/>
  <c r="M308" i="8" s="1"/>
  <c r="W308" i="6"/>
  <c r="W308" i="8" s="1"/>
  <c r="F318" i="6"/>
  <c r="F318" i="8" s="1"/>
  <c r="G318" i="6"/>
  <c r="G318" i="8" s="1"/>
  <c r="BG45" i="2"/>
  <c r="BG44" i="2"/>
  <c r="BI28" i="2"/>
  <c r="BH28" i="2"/>
  <c r="AH32" i="2"/>
  <c r="AH31" i="2"/>
  <c r="AC32" i="2"/>
  <c r="AC31" i="2"/>
  <c r="H14" i="6"/>
  <c r="H14" i="8" s="1"/>
  <c r="G14" i="6"/>
  <c r="G14" i="8" s="1"/>
  <c r="F14" i="6"/>
  <c r="F14" i="8" s="1"/>
  <c r="E14" i="6"/>
  <c r="E14" i="8" s="1"/>
  <c r="BK28" i="2" l="1"/>
  <c r="BK27" i="2" s="1"/>
  <c r="BK47" i="2" s="1"/>
  <c r="BJ28" i="2"/>
  <c r="BJ27" i="2" s="1"/>
  <c r="BJ47" i="2" s="1"/>
  <c r="Q707" i="8"/>
  <c r="G365" i="8"/>
  <c r="H365" i="8"/>
  <c r="H441" i="6"/>
  <c r="AB441" i="6" s="1"/>
  <c r="BH36" i="2"/>
  <c r="BI36" i="2"/>
  <c r="D384" i="8"/>
  <c r="Y242" i="8"/>
  <c r="O783" i="6"/>
  <c r="O783" i="8" s="1"/>
  <c r="AW58" i="5"/>
  <c r="AX58" i="5"/>
  <c r="Q783" i="6"/>
  <c r="Q783" i="8" s="1"/>
  <c r="Z378" i="6"/>
  <c r="Z378" i="8" s="1"/>
  <c r="AB378" i="6"/>
  <c r="AB378" i="8" s="1"/>
  <c r="W318" i="6"/>
  <c r="W318" i="8" s="1"/>
  <c r="Z318" i="6"/>
  <c r="Z318" i="8" s="1"/>
  <c r="AA378" i="6"/>
  <c r="AA378" i="8" s="1"/>
  <c r="AB318" i="6"/>
  <c r="AB318" i="8" s="1"/>
  <c r="Y378" i="6"/>
  <c r="Y378" i="8" s="1"/>
  <c r="X318" i="6"/>
  <c r="X318" i="8" s="1"/>
  <c r="Y318" i="6"/>
  <c r="AG336" i="6" s="1"/>
  <c r="AH336" i="6" s="1"/>
  <c r="AA318" i="6"/>
  <c r="AA318" i="8" s="1"/>
  <c r="N318" i="6"/>
  <c r="N318" i="8" s="1"/>
  <c r="P318" i="6"/>
  <c r="P318" i="8" s="1"/>
  <c r="O318" i="6"/>
  <c r="O318" i="8" s="1"/>
  <c r="Q318" i="6"/>
  <c r="Q318" i="8" s="1"/>
  <c r="F394" i="6"/>
  <c r="F394" i="8" s="1"/>
  <c r="E394" i="6"/>
  <c r="E394" i="8" s="1"/>
  <c r="D460" i="6"/>
  <c r="H394" i="6"/>
  <c r="H394" i="8" s="1"/>
  <c r="W384" i="6"/>
  <c r="W384" i="8" s="1"/>
  <c r="M384" i="6"/>
  <c r="M384" i="8" s="1"/>
  <c r="G394" i="6"/>
  <c r="G394" i="8" s="1"/>
  <c r="AM31" i="2"/>
  <c r="AM32" i="2"/>
  <c r="H441" i="8" l="1"/>
  <c r="Y365" i="6"/>
  <c r="Y365" i="8" s="1"/>
  <c r="Z365" i="8"/>
  <c r="AA365" i="6"/>
  <c r="AA365" i="8" s="1"/>
  <c r="AB365" i="8"/>
  <c r="D460" i="8"/>
  <c r="Y318" i="8"/>
  <c r="Q394" i="6"/>
  <c r="Q394" i="8" s="1"/>
  <c r="P394" i="6"/>
  <c r="P394" i="8" s="1"/>
  <c r="O394" i="6"/>
  <c r="O394" i="8" s="1"/>
  <c r="N394" i="6"/>
  <c r="N394" i="8" s="1"/>
  <c r="Y394" i="6"/>
  <c r="AG412" i="6" s="1"/>
  <c r="AH412" i="6" s="1"/>
  <c r="AB394" i="6"/>
  <c r="AB394" i="8" s="1"/>
  <c r="AB454" i="6"/>
  <c r="AB454" i="8" s="1"/>
  <c r="AA394" i="6"/>
  <c r="AA394" i="8" s="1"/>
  <c r="Z454" i="6"/>
  <c r="Z454" i="8" s="1"/>
  <c r="Y454" i="6"/>
  <c r="Y454" i="8" s="1"/>
  <c r="X394" i="6"/>
  <c r="X394" i="8" s="1"/>
  <c r="Z394" i="6"/>
  <c r="Z394" i="8" s="1"/>
  <c r="AA454" i="6"/>
  <c r="AA454" i="8" s="1"/>
  <c r="W394" i="6"/>
  <c r="W394" i="8" s="1"/>
  <c r="F470" i="6"/>
  <c r="F470" i="8" s="1"/>
  <c r="E470" i="6"/>
  <c r="E470" i="8" s="1"/>
  <c r="W460" i="6"/>
  <c r="W460" i="8" s="1"/>
  <c r="D536" i="6"/>
  <c r="H470" i="6"/>
  <c r="H470" i="8" s="1"/>
  <c r="G470" i="6"/>
  <c r="G470" i="8" s="1"/>
  <c r="M460" i="6"/>
  <c r="M460" i="8" s="1"/>
  <c r="AR31" i="2"/>
  <c r="AR32" i="2"/>
  <c r="K18" i="4"/>
  <c r="D5" i="1" s="1"/>
  <c r="AA441" i="6" l="1"/>
  <c r="AA441" i="8" s="1"/>
  <c r="AB441" i="8"/>
  <c r="D536" i="8"/>
  <c r="Y394" i="8"/>
  <c r="AA530" i="6"/>
  <c r="AA530" i="8" s="1"/>
  <c r="AB530" i="6"/>
  <c r="AB530" i="8" s="1"/>
  <c r="W470" i="6"/>
  <c r="W470" i="8" s="1"/>
  <c r="Z530" i="6"/>
  <c r="Z530" i="8" s="1"/>
  <c r="Y470" i="6"/>
  <c r="AG488" i="6" s="1"/>
  <c r="AH488" i="6" s="1"/>
  <c r="AA470" i="6"/>
  <c r="AA470" i="8" s="1"/>
  <c r="Y530" i="6"/>
  <c r="Y530" i="8" s="1"/>
  <c r="X470" i="6"/>
  <c r="X470" i="8" s="1"/>
  <c r="AB470" i="6"/>
  <c r="AB470" i="8" s="1"/>
  <c r="Z470" i="6"/>
  <c r="Z470" i="8" s="1"/>
  <c r="N470" i="6"/>
  <c r="N470" i="8" s="1"/>
  <c r="O470" i="6"/>
  <c r="O470" i="8" s="1"/>
  <c r="Q470" i="6"/>
  <c r="Q470" i="8" s="1"/>
  <c r="P470" i="6"/>
  <c r="P470" i="8" s="1"/>
  <c r="D612" i="6"/>
  <c r="M536" i="6"/>
  <c r="M536" i="8" s="1"/>
  <c r="H546" i="6"/>
  <c r="H546" i="8" s="1"/>
  <c r="G546" i="6"/>
  <c r="G546" i="8" s="1"/>
  <c r="W536" i="6"/>
  <c r="W536" i="8" s="1"/>
  <c r="E546" i="6"/>
  <c r="E546" i="8" s="1"/>
  <c r="F546" i="6"/>
  <c r="F546" i="8" s="1"/>
  <c r="M65" i="4"/>
  <c r="D5" i="6"/>
  <c r="AW32" i="2"/>
  <c r="AW31" i="2"/>
  <c r="K21" i="4"/>
  <c r="Q58" i="2" l="1"/>
  <c r="I58" i="2"/>
  <c r="BK58" i="2"/>
  <c r="BF58" i="2"/>
  <c r="BA58" i="2"/>
  <c r="AV58" i="2"/>
  <c r="AQ58" i="2"/>
  <c r="AL58" i="2"/>
  <c r="AG58" i="2"/>
  <c r="AB58" i="2"/>
  <c r="W58" i="2"/>
  <c r="R58" i="2"/>
  <c r="J58" i="2"/>
  <c r="BJ58" i="2"/>
  <c r="BE58" i="2"/>
  <c r="AZ58" i="2"/>
  <c r="AU58" i="2"/>
  <c r="AP58" i="2"/>
  <c r="AK58" i="2"/>
  <c r="AF58" i="2"/>
  <c r="AA58" i="2"/>
  <c r="V58" i="2"/>
  <c r="D612" i="8"/>
  <c r="D81" i="6"/>
  <c r="D5" i="8"/>
  <c r="Y470" i="8"/>
  <c r="I63" i="4"/>
  <c r="J69" i="4"/>
  <c r="I69" i="4"/>
  <c r="W546" i="6"/>
  <c r="W546" i="8" s="1"/>
  <c r="AA606" i="6"/>
  <c r="AA606" i="8" s="1"/>
  <c r="AB606" i="6"/>
  <c r="AB606" i="8" s="1"/>
  <c r="Y606" i="6"/>
  <c r="Y606" i="8" s="1"/>
  <c r="Y546" i="6"/>
  <c r="AG564" i="6" s="1"/>
  <c r="AH564" i="6" s="1"/>
  <c r="Z606" i="6"/>
  <c r="Z606" i="8" s="1"/>
  <c r="Z546" i="6"/>
  <c r="Z546" i="8" s="1"/>
  <c r="X546" i="6"/>
  <c r="X546" i="8" s="1"/>
  <c r="AA546" i="6"/>
  <c r="AA546" i="8" s="1"/>
  <c r="AB546" i="6"/>
  <c r="AB546" i="8" s="1"/>
  <c r="F622" i="6"/>
  <c r="F622" i="8" s="1"/>
  <c r="D688" i="6"/>
  <c r="W612" i="6"/>
  <c r="W612" i="8" s="1"/>
  <c r="E622" i="6"/>
  <c r="E622" i="8" s="1"/>
  <c r="G622" i="6"/>
  <c r="G622" i="8" s="1"/>
  <c r="M612" i="6"/>
  <c r="M612" i="8" s="1"/>
  <c r="H622" i="6"/>
  <c r="H622" i="8" s="1"/>
  <c r="N546" i="6"/>
  <c r="N546" i="8" s="1"/>
  <c r="Q546" i="6"/>
  <c r="Q546" i="8" s="1"/>
  <c r="P546" i="6"/>
  <c r="P546" i="8" s="1"/>
  <c r="O546" i="6"/>
  <c r="O546" i="8" s="1"/>
  <c r="BB31" i="2"/>
  <c r="BB32" i="2"/>
  <c r="V5" i="6"/>
  <c r="V5" i="8" s="1"/>
  <c r="M5" i="6"/>
  <c r="M5" i="8" s="1"/>
  <c r="J63" i="4"/>
  <c r="D81" i="8" l="1"/>
  <c r="D157" i="6"/>
  <c r="D157" i="8" s="1"/>
  <c r="D688" i="8"/>
  <c r="M81" i="6"/>
  <c r="M81" i="8" s="1"/>
  <c r="Y546" i="8"/>
  <c r="V81" i="6"/>
  <c r="V81" i="8" s="1"/>
  <c r="K63" i="4"/>
  <c r="K69" i="4"/>
  <c r="F698" i="6"/>
  <c r="F698" i="8" s="1"/>
  <c r="D764" i="6"/>
  <c r="G698" i="6"/>
  <c r="G698" i="8" s="1"/>
  <c r="E698" i="6"/>
  <c r="E698" i="8" s="1"/>
  <c r="M688" i="6"/>
  <c r="M688" i="8" s="1"/>
  <c r="H698" i="6"/>
  <c r="H698" i="8" s="1"/>
  <c r="W688" i="6"/>
  <c r="W688" i="8" s="1"/>
  <c r="Z682" i="6"/>
  <c r="Z682" i="8" s="1"/>
  <c r="Z622" i="6"/>
  <c r="Z622" i="8" s="1"/>
  <c r="Y622" i="6"/>
  <c r="AG640" i="6" s="1"/>
  <c r="AH640" i="6" s="1"/>
  <c r="AA622" i="6"/>
  <c r="AA622" i="8" s="1"/>
  <c r="AB682" i="6"/>
  <c r="AB682" i="8" s="1"/>
  <c r="X622" i="6"/>
  <c r="X622" i="8" s="1"/>
  <c r="W622" i="6"/>
  <c r="W622" i="8" s="1"/>
  <c r="AA682" i="6"/>
  <c r="AA682" i="8" s="1"/>
  <c r="Y682" i="6"/>
  <c r="Y682" i="8" s="1"/>
  <c r="AB622" i="6"/>
  <c r="AB622" i="8" s="1"/>
  <c r="N622" i="6"/>
  <c r="N622" i="8" s="1"/>
  <c r="Q622" i="6"/>
  <c r="Q622" i="8" s="1"/>
  <c r="O622" i="6"/>
  <c r="O622" i="8" s="1"/>
  <c r="P622" i="6"/>
  <c r="P622" i="8" s="1"/>
  <c r="BG32" i="2"/>
  <c r="BG31" i="2"/>
  <c r="H801" i="6" l="1"/>
  <c r="AA801" i="6" s="1"/>
  <c r="F801" i="6"/>
  <c r="X801" i="6" s="1"/>
  <c r="M157" i="6"/>
  <c r="M157" i="8" s="1"/>
  <c r="V157" i="6"/>
  <c r="V157" i="8" s="1"/>
  <c r="D764" i="8"/>
  <c r="D233" i="6"/>
  <c r="D309" i="6" s="1"/>
  <c r="Y622" i="8"/>
  <c r="G774" i="6"/>
  <c r="G774" i="8" s="1"/>
  <c r="W764" i="6"/>
  <c r="W764" i="8" s="1"/>
  <c r="E774" i="6"/>
  <c r="E774" i="8" s="1"/>
  <c r="F774" i="6"/>
  <c r="F774" i="8" s="1"/>
  <c r="M764" i="6"/>
  <c r="M764" i="8" s="1"/>
  <c r="H774" i="6"/>
  <c r="H774" i="8" s="1"/>
  <c r="W698" i="6"/>
  <c r="W698" i="8" s="1"/>
  <c r="AA758" i="6"/>
  <c r="AA758" i="8" s="1"/>
  <c r="Y758" i="6"/>
  <c r="Y758" i="8" s="1"/>
  <c r="X698" i="6"/>
  <c r="X698" i="8" s="1"/>
  <c r="Z758" i="6"/>
  <c r="Z758" i="8" s="1"/>
  <c r="Z698" i="6"/>
  <c r="Z698" i="8" s="1"/>
  <c r="AB698" i="6"/>
  <c r="AB698" i="8" s="1"/>
  <c r="AA698" i="6"/>
  <c r="AA698" i="8" s="1"/>
  <c r="AB758" i="6"/>
  <c r="AB758" i="8" s="1"/>
  <c r="Y698" i="6"/>
  <c r="AG716" i="6" s="1"/>
  <c r="AH716" i="6" s="1"/>
  <c r="N698" i="6"/>
  <c r="N698" i="8" s="1"/>
  <c r="Q698" i="6"/>
  <c r="Q698" i="8" s="1"/>
  <c r="P698" i="6"/>
  <c r="P698" i="8" s="1"/>
  <c r="O698" i="6"/>
  <c r="O698" i="8" s="1"/>
  <c r="E20" i="5"/>
  <c r="E14" i="5"/>
  <c r="E16" i="5" s="1"/>
  <c r="F801" i="8" l="1"/>
  <c r="H801" i="8"/>
  <c r="V233" i="6"/>
  <c r="V233" i="8" s="1"/>
  <c r="D233" i="8"/>
  <c r="M233" i="6"/>
  <c r="M233" i="8" s="1"/>
  <c r="D309" i="8"/>
  <c r="D385" i="6"/>
  <c r="D385" i="8" s="1"/>
  <c r="V309" i="6"/>
  <c r="V309" i="8" s="1"/>
  <c r="M309" i="6"/>
  <c r="M309" i="8" s="1"/>
  <c r="Y698" i="8"/>
  <c r="H80" i="5"/>
  <c r="G80" i="5"/>
  <c r="N774" i="6"/>
  <c r="N774" i="8" s="1"/>
  <c r="Q774" i="6"/>
  <c r="Q774" i="8" s="1"/>
  <c r="O774" i="6"/>
  <c r="O774" i="8" s="1"/>
  <c r="P774" i="6"/>
  <c r="P774" i="8" s="1"/>
  <c r="Z834" i="6"/>
  <c r="Z834" i="8" s="1"/>
  <c r="Y834" i="6"/>
  <c r="Y834" i="8" s="1"/>
  <c r="AB774" i="6"/>
  <c r="AB774" i="8" s="1"/>
  <c r="AA774" i="6"/>
  <c r="AA774" i="8" s="1"/>
  <c r="Z774" i="6"/>
  <c r="Z774" i="8" s="1"/>
  <c r="X774" i="6"/>
  <c r="X774" i="8" s="1"/>
  <c r="W774" i="6"/>
  <c r="W774" i="8" s="1"/>
  <c r="AA834" i="6"/>
  <c r="AA834" i="8" s="1"/>
  <c r="AB834" i="6"/>
  <c r="AB834" i="8" s="1"/>
  <c r="Y774" i="6"/>
  <c r="AG792" i="6" s="1"/>
  <c r="AH792" i="6" s="1"/>
  <c r="H48" i="5"/>
  <c r="G53" i="5"/>
  <c r="K53" i="5" s="1"/>
  <c r="H43" i="5"/>
  <c r="E21" i="5"/>
  <c r="E22" i="5" s="1"/>
  <c r="E15" i="5"/>
  <c r="AB801" i="6" l="1"/>
  <c r="AB801" i="8" s="1"/>
  <c r="AA801" i="8"/>
  <c r="Y801" i="6"/>
  <c r="Y801" i="8" s="1"/>
  <c r="X801" i="8"/>
  <c r="V385" i="6"/>
  <c r="V385" i="8" s="1"/>
  <c r="D461" i="6"/>
  <c r="D461" i="8" s="1"/>
  <c r="M385" i="6"/>
  <c r="M385" i="8" s="1"/>
  <c r="Y774" i="8"/>
  <c r="G4" i="6"/>
  <c r="H49" i="5"/>
  <c r="H45" i="5" s="1"/>
  <c r="H47" i="5"/>
  <c r="I53" i="5"/>
  <c r="H46" i="5"/>
  <c r="I43" i="5"/>
  <c r="E17" i="5"/>
  <c r="E23" i="5"/>
  <c r="E39" i="4"/>
  <c r="F39" i="4" s="1"/>
  <c r="G39" i="4" s="1"/>
  <c r="H39" i="4" s="1"/>
  <c r="I39" i="4" s="1"/>
  <c r="J39" i="4" s="1"/>
  <c r="K39" i="4" s="1"/>
  <c r="L39" i="4" s="1"/>
  <c r="M39" i="4" s="1"/>
  <c r="N39" i="4" s="1"/>
  <c r="O39" i="4" s="1"/>
  <c r="F89" i="2"/>
  <c r="E89" i="2"/>
  <c r="F56" i="2"/>
  <c r="F55" i="2"/>
  <c r="F54" i="2"/>
  <c r="F53" i="2"/>
  <c r="F52" i="2"/>
  <c r="F50" i="2"/>
  <c r="F49" i="2"/>
  <c r="E56" i="2"/>
  <c r="E55" i="2"/>
  <c r="E54" i="2"/>
  <c r="E53" i="2"/>
  <c r="E52" i="2"/>
  <c r="E51" i="2"/>
  <c r="E50" i="2"/>
  <c r="E49" i="2"/>
  <c r="F45" i="2"/>
  <c r="F44" i="2"/>
  <c r="F43" i="2"/>
  <c r="F42" i="2"/>
  <c r="F41" i="2"/>
  <c r="F40" i="2"/>
  <c r="F39" i="2"/>
  <c r="F32" i="2"/>
  <c r="F31" i="2"/>
  <c r="F29" i="2"/>
  <c r="F26" i="2"/>
  <c r="F23" i="2"/>
  <c r="E45" i="2"/>
  <c r="E44" i="2"/>
  <c r="E43" i="2"/>
  <c r="E42" i="2"/>
  <c r="E41" i="2"/>
  <c r="E40" i="2"/>
  <c r="E39" i="2"/>
  <c r="E32" i="2"/>
  <c r="E29" i="2"/>
  <c r="E26" i="2"/>
  <c r="E25" i="2"/>
  <c r="E33" i="1"/>
  <c r="G33" i="1"/>
  <c r="F33" i="1"/>
  <c r="F92" i="2" l="1"/>
  <c r="E92" i="2"/>
  <c r="H85" i="2"/>
  <c r="G85" i="2"/>
  <c r="H50" i="5"/>
  <c r="H46" i="2"/>
  <c r="G46" i="2"/>
  <c r="H66" i="2"/>
  <c r="G66" i="2"/>
  <c r="H31" i="2"/>
  <c r="J31" i="2" s="1"/>
  <c r="M461" i="6"/>
  <c r="M461" i="8" s="1"/>
  <c r="G78" i="5"/>
  <c r="P43" i="2"/>
  <c r="H114" i="6" s="1"/>
  <c r="U43" i="2"/>
  <c r="H190" i="6" s="1"/>
  <c r="AA190" i="6" s="1"/>
  <c r="Z43" i="2"/>
  <c r="AE43" i="2"/>
  <c r="AJ43" i="2"/>
  <c r="H418" i="6" s="1"/>
  <c r="AA418" i="6" s="1"/>
  <c r="AO43" i="2"/>
  <c r="AT43" i="2"/>
  <c r="H570" i="6" s="1"/>
  <c r="AA570" i="6" s="1"/>
  <c r="AY43" i="2"/>
  <c r="BD43" i="2"/>
  <c r="BI43" i="2"/>
  <c r="AT58" i="2"/>
  <c r="AT41" i="2" s="1"/>
  <c r="AE58" i="2"/>
  <c r="AE31" i="2" s="1"/>
  <c r="Z58" i="2"/>
  <c r="Z44" i="2" s="1"/>
  <c r="AY58" i="2"/>
  <c r="AY26" i="2" s="1"/>
  <c r="BD58" i="2"/>
  <c r="BD29" i="2" s="1"/>
  <c r="P58" i="2"/>
  <c r="P44" i="2" s="1"/>
  <c r="AO58" i="2"/>
  <c r="AO29" i="2" s="1"/>
  <c r="AJ58" i="2"/>
  <c r="AJ29" i="2" s="1"/>
  <c r="BI58" i="2"/>
  <c r="BI29" i="2" s="1"/>
  <c r="U58" i="2"/>
  <c r="U26" i="2" s="1"/>
  <c r="O42" i="2"/>
  <c r="T42" i="2"/>
  <c r="F189" i="6" s="1"/>
  <c r="Y42" i="2"/>
  <c r="AD42" i="2"/>
  <c r="AI42" i="2"/>
  <c r="F417" i="6" s="1"/>
  <c r="AN42" i="2"/>
  <c r="AS42" i="2"/>
  <c r="F569" i="6" s="1"/>
  <c r="AX42" i="2"/>
  <c r="BC42" i="2"/>
  <c r="BH42" i="2"/>
  <c r="O43" i="2"/>
  <c r="F114" i="6" s="1"/>
  <c r="T43" i="2"/>
  <c r="F190" i="6" s="1"/>
  <c r="X190" i="6" s="1"/>
  <c r="Y43" i="2"/>
  <c r="AD43" i="2"/>
  <c r="F342" i="6" s="1"/>
  <c r="X342" i="6" s="1"/>
  <c r="AI43" i="2"/>
  <c r="F418" i="6" s="1"/>
  <c r="X418" i="6" s="1"/>
  <c r="AN43" i="2"/>
  <c r="AS43" i="2"/>
  <c r="F570" i="6" s="1"/>
  <c r="X570" i="6" s="1"/>
  <c r="AX43" i="2"/>
  <c r="BC43" i="2"/>
  <c r="BH43" i="2"/>
  <c r="P42" i="2"/>
  <c r="U42" i="2"/>
  <c r="H189" i="6" s="1"/>
  <c r="Z42" i="2"/>
  <c r="AE42" i="2"/>
  <c r="AJ42" i="2"/>
  <c r="H417" i="6" s="1"/>
  <c r="AO42" i="2"/>
  <c r="AT42" i="2"/>
  <c r="H569" i="6" s="1"/>
  <c r="AY42" i="2"/>
  <c r="BD42" i="2"/>
  <c r="BI42" i="2"/>
  <c r="Y58" i="2"/>
  <c r="Y32" i="2" s="1"/>
  <c r="AN58" i="2"/>
  <c r="AN26" i="2" s="1"/>
  <c r="AS58" i="2"/>
  <c r="AS44" i="2" s="1"/>
  <c r="BH58" i="2"/>
  <c r="BH32" i="2" s="1"/>
  <c r="T58" i="2"/>
  <c r="T32" i="2" s="1"/>
  <c r="O58" i="2"/>
  <c r="O32" i="2" s="1"/>
  <c r="AX58" i="2"/>
  <c r="AX32" i="2" s="1"/>
  <c r="BC58" i="2"/>
  <c r="BC41" i="2" s="1"/>
  <c r="AD58" i="2"/>
  <c r="AD41" i="2" s="1"/>
  <c r="AI58" i="2"/>
  <c r="AI45" i="2" s="1"/>
  <c r="H78" i="5"/>
  <c r="V461" i="6"/>
  <c r="V461" i="8" s="1"/>
  <c r="D537" i="6"/>
  <c r="D537" i="8" s="1"/>
  <c r="AA4" i="6"/>
  <c r="AA4" i="8" s="1"/>
  <c r="G4" i="8"/>
  <c r="H4" i="6"/>
  <c r="I47" i="5"/>
  <c r="I49" i="5"/>
  <c r="H80" i="6" s="1"/>
  <c r="I48" i="5"/>
  <c r="M53" i="5"/>
  <c r="O53" i="5"/>
  <c r="I46" i="5"/>
  <c r="J43" i="5"/>
  <c r="H49" i="2"/>
  <c r="H53" i="2"/>
  <c r="H50" i="6" s="1"/>
  <c r="AA50" i="6" s="1"/>
  <c r="G24" i="2"/>
  <c r="F19" i="6" s="1"/>
  <c r="X19" i="6" s="1"/>
  <c r="H37" i="2"/>
  <c r="J37" i="2" s="1"/>
  <c r="H42" i="2"/>
  <c r="J42" i="2" s="1"/>
  <c r="G53" i="2"/>
  <c r="G25" i="2"/>
  <c r="I25" i="2" s="1"/>
  <c r="G39" i="2"/>
  <c r="G69" i="5" s="1"/>
  <c r="G43" i="2"/>
  <c r="I43" i="2" s="1"/>
  <c r="H24" i="2"/>
  <c r="H19" i="6" s="1"/>
  <c r="AA19" i="6" s="1"/>
  <c r="G51" i="2"/>
  <c r="G55" i="2"/>
  <c r="F52" i="6" s="1"/>
  <c r="X52" i="6" s="1"/>
  <c r="H55" i="2"/>
  <c r="H52" i="6" s="1"/>
  <c r="AA52" i="6" s="1"/>
  <c r="G42" i="2"/>
  <c r="I42" i="2" s="1"/>
  <c r="H23" i="2"/>
  <c r="H39" i="2"/>
  <c r="J39" i="2" s="1"/>
  <c r="H43" i="2"/>
  <c r="J43" i="2" s="1"/>
  <c r="G50" i="2"/>
  <c r="F47" i="6" s="1"/>
  <c r="X47" i="6" s="1"/>
  <c r="G54" i="2"/>
  <c r="H50" i="2"/>
  <c r="H54" i="2"/>
  <c r="H51" i="6" s="1"/>
  <c r="AA51" i="6" s="1"/>
  <c r="G23" i="2"/>
  <c r="F18" i="6" s="1"/>
  <c r="X18" i="6" s="1"/>
  <c r="G52" i="2"/>
  <c r="G56" i="2"/>
  <c r="F53" i="6" s="1"/>
  <c r="X53" i="6" s="1"/>
  <c r="H52" i="2"/>
  <c r="H49" i="6" s="1"/>
  <c r="AA49" i="6" s="1"/>
  <c r="H56" i="2"/>
  <c r="H53" i="6" s="1"/>
  <c r="AA53" i="6" s="1"/>
  <c r="H36" i="2"/>
  <c r="J36" i="2" s="1"/>
  <c r="G36" i="2"/>
  <c r="I36" i="2" s="1"/>
  <c r="H34" i="2"/>
  <c r="J34" i="2" s="1"/>
  <c r="G34" i="2"/>
  <c r="I34" i="2" s="1"/>
  <c r="H26" i="2"/>
  <c r="J26" i="2" s="1"/>
  <c r="G49" i="2"/>
  <c r="G92" i="2" s="1"/>
  <c r="G26" i="2"/>
  <c r="I26" i="2" s="1"/>
  <c r="O21" i="6" s="1"/>
  <c r="H51" i="2"/>
  <c r="G29" i="2"/>
  <c r="I29" i="2" s="1"/>
  <c r="G32" i="2"/>
  <c r="I32" i="2" s="1"/>
  <c r="O27" i="6" s="1"/>
  <c r="G35" i="2"/>
  <c r="I35" i="2" s="1"/>
  <c r="G40" i="2"/>
  <c r="I40" i="2" s="1"/>
  <c r="G44" i="2"/>
  <c r="I44" i="2" s="1"/>
  <c r="H41" i="2"/>
  <c r="J41" i="2" s="1"/>
  <c r="H45" i="2"/>
  <c r="J45" i="2" s="1"/>
  <c r="G31" i="2"/>
  <c r="I31" i="2" s="1"/>
  <c r="O26" i="6" s="1"/>
  <c r="G41" i="2"/>
  <c r="I41" i="2" s="1"/>
  <c r="G45" i="2"/>
  <c r="I45" i="2" s="1"/>
  <c r="H29" i="2"/>
  <c r="J29" i="2" s="1"/>
  <c r="H32" i="2"/>
  <c r="J32" i="2" s="1"/>
  <c r="H35" i="2"/>
  <c r="J35" i="2" s="1"/>
  <c r="H40" i="2"/>
  <c r="J40" i="2" s="1"/>
  <c r="H44" i="2"/>
  <c r="J44" i="2" s="1"/>
  <c r="F30" i="2"/>
  <c r="F33" i="2"/>
  <c r="E22" i="2"/>
  <c r="E30" i="2"/>
  <c r="E38" i="2"/>
  <c r="F38" i="2"/>
  <c r="D4" i="1"/>
  <c r="H92" i="2" l="1"/>
  <c r="G68" i="2"/>
  <c r="G74" i="2" s="1"/>
  <c r="I66" i="2"/>
  <c r="I68" i="2" s="1"/>
  <c r="I74" i="2" s="1"/>
  <c r="J46" i="2"/>
  <c r="Q41" i="6" s="1"/>
  <c r="Q41" i="8" s="1"/>
  <c r="H68" i="2"/>
  <c r="H74" i="2" s="1"/>
  <c r="H87" i="2" s="1"/>
  <c r="J66" i="2"/>
  <c r="J68" i="2" s="1"/>
  <c r="J74" i="2" s="1"/>
  <c r="G83" i="2"/>
  <c r="I85" i="2"/>
  <c r="I83" i="2" s="1"/>
  <c r="I46" i="2"/>
  <c r="O41" i="6" s="1"/>
  <c r="O41" i="8" s="1"/>
  <c r="H83" i="2"/>
  <c r="J85" i="2"/>
  <c r="J83" i="2" s="1"/>
  <c r="H417" i="8"/>
  <c r="AA417" i="6"/>
  <c r="H569" i="8"/>
  <c r="AA569" i="6"/>
  <c r="F569" i="8"/>
  <c r="X569" i="6"/>
  <c r="F417" i="8"/>
  <c r="X417" i="6"/>
  <c r="H189" i="8"/>
  <c r="AA189" i="6"/>
  <c r="F189" i="8"/>
  <c r="X189" i="6"/>
  <c r="H40" i="6"/>
  <c r="H40" i="8" s="1"/>
  <c r="F21" i="6"/>
  <c r="F21" i="8" s="1"/>
  <c r="H37" i="6"/>
  <c r="H37" i="8" s="1"/>
  <c r="F24" i="6"/>
  <c r="F24" i="8" s="1"/>
  <c r="G65" i="5"/>
  <c r="I65" i="5"/>
  <c r="H38" i="6"/>
  <c r="H38" i="8" s="1"/>
  <c r="Q38" i="6"/>
  <c r="AA38" i="6" s="1"/>
  <c r="F38" i="6"/>
  <c r="F38" i="8" s="1"/>
  <c r="O38" i="6"/>
  <c r="F26" i="6"/>
  <c r="F26" i="8" s="1"/>
  <c r="H67" i="5"/>
  <c r="I55" i="5"/>
  <c r="F20" i="6"/>
  <c r="F20" i="8" s="1"/>
  <c r="AB62" i="6"/>
  <c r="Z62" i="6"/>
  <c r="J69" i="5"/>
  <c r="Q34" i="6"/>
  <c r="AB61" i="8"/>
  <c r="Z61" i="8"/>
  <c r="E55" i="1"/>
  <c r="J64" i="5"/>
  <c r="H32" i="6"/>
  <c r="H48" i="6"/>
  <c r="AA48" i="6" s="1"/>
  <c r="F46" i="6"/>
  <c r="T26" i="2"/>
  <c r="O26" i="2"/>
  <c r="L73" i="5"/>
  <c r="K73" i="5"/>
  <c r="G73" i="5"/>
  <c r="H73" i="5"/>
  <c r="Z45" i="2"/>
  <c r="AS40" i="2"/>
  <c r="Z32" i="2"/>
  <c r="AO31" i="2"/>
  <c r="BI45" i="2"/>
  <c r="BI44" i="2"/>
  <c r="BD41" i="2"/>
  <c r="Z40" i="2"/>
  <c r="BI32" i="2"/>
  <c r="AS31" i="2"/>
  <c r="BD31" i="2"/>
  <c r="AE32" i="2"/>
  <c r="AY41" i="2"/>
  <c r="BI40" i="2"/>
  <c r="BI26" i="2"/>
  <c r="BI22" i="2" s="1"/>
  <c r="AJ32" i="2"/>
  <c r="AY45" i="2"/>
  <c r="AY32" i="2"/>
  <c r="AJ45" i="2"/>
  <c r="AJ41" i="2"/>
  <c r="T41" i="2"/>
  <c r="AO32" i="2"/>
  <c r="T31" i="2"/>
  <c r="Z41" i="2"/>
  <c r="AY31" i="2"/>
  <c r="Z29" i="2"/>
  <c r="AD44" i="2"/>
  <c r="Y45" i="2"/>
  <c r="AD45" i="2"/>
  <c r="Z26" i="2"/>
  <c r="AS32" i="2"/>
  <c r="AY44" i="2"/>
  <c r="AY29" i="2"/>
  <c r="BH41" i="2"/>
  <c r="BD32" i="2"/>
  <c r="BH31" i="2"/>
  <c r="BH30" i="2" s="1"/>
  <c r="P41" i="2"/>
  <c r="AJ31" i="2"/>
  <c r="AS29" i="2"/>
  <c r="AJ44" i="2"/>
  <c r="AY40" i="2"/>
  <c r="AT29" i="2"/>
  <c r="BH45" i="2"/>
  <c r="AS26" i="2"/>
  <c r="AO26" i="2"/>
  <c r="AX40" i="2"/>
  <c r="Y40" i="2"/>
  <c r="BC26" i="2"/>
  <c r="BC44" i="2"/>
  <c r="BH40" i="2"/>
  <c r="BC31" i="2"/>
  <c r="AE41" i="2"/>
  <c r="AJ40" i="2"/>
  <c r="BC45" i="2"/>
  <c r="AS41" i="2"/>
  <c r="AJ26" i="2"/>
  <c r="AJ22" i="2" s="1"/>
  <c r="BH44" i="2"/>
  <c r="BC40" i="2"/>
  <c r="BC32" i="2"/>
  <c r="AN29" i="2"/>
  <c r="P26" i="2"/>
  <c r="P32" i="2"/>
  <c r="U32" i="2"/>
  <c r="Y31" i="2"/>
  <c r="O31" i="2"/>
  <c r="P45" i="2"/>
  <c r="P31" i="2"/>
  <c r="AD29" i="2"/>
  <c r="AI29" i="2"/>
  <c r="BD44" i="2"/>
  <c r="U44" i="2"/>
  <c r="BD40" i="2"/>
  <c r="P40" i="2"/>
  <c r="AE29" i="2"/>
  <c r="T45" i="2"/>
  <c r="AN45" i="2"/>
  <c r="O41" i="2"/>
  <c r="AI41" i="2"/>
  <c r="AD26" i="2"/>
  <c r="AI26" i="2"/>
  <c r="BD26" i="2"/>
  <c r="AN44" i="2"/>
  <c r="AI44" i="2"/>
  <c r="AI40" i="2"/>
  <c r="AN40" i="2"/>
  <c r="AI32" i="2"/>
  <c r="AD32" i="2"/>
  <c r="AT32" i="2"/>
  <c r="AD31" i="2"/>
  <c r="AX31" i="2"/>
  <c r="BD45" i="2"/>
  <c r="AO45" i="2"/>
  <c r="U45" i="2"/>
  <c r="AO41" i="2"/>
  <c r="U41" i="2"/>
  <c r="BI31" i="2"/>
  <c r="AT31" i="2"/>
  <c r="Z31" i="2"/>
  <c r="BC29" i="2"/>
  <c r="BH29" i="2"/>
  <c r="BH27" i="2" s="1"/>
  <c r="T29" i="2"/>
  <c r="AO44" i="2"/>
  <c r="AT44" i="2"/>
  <c r="AE44" i="2"/>
  <c r="AT40" i="2"/>
  <c r="AO40" i="2"/>
  <c r="P29" i="2"/>
  <c r="O45" i="2"/>
  <c r="F116" i="6" s="1"/>
  <c r="AS45" i="2"/>
  <c r="Y41" i="2"/>
  <c r="AN41" i="2"/>
  <c r="BH26" i="2"/>
  <c r="BH22" i="2" s="1"/>
  <c r="AE26" i="2"/>
  <c r="AT26" i="2"/>
  <c r="Y44" i="2"/>
  <c r="T44" i="2"/>
  <c r="AD40" i="2"/>
  <c r="T40" i="2"/>
  <c r="AN32" i="2"/>
  <c r="AN31" i="2"/>
  <c r="AE40" i="2"/>
  <c r="AI31" i="2"/>
  <c r="AE45" i="2"/>
  <c r="AT45" i="2"/>
  <c r="BI41" i="2"/>
  <c r="U31" i="2"/>
  <c r="Y29" i="2"/>
  <c r="AX29" i="2"/>
  <c r="O29" i="2"/>
  <c r="F100" i="6" s="1"/>
  <c r="U40" i="2"/>
  <c r="U29" i="2"/>
  <c r="AX45" i="2"/>
  <c r="AX41" i="2"/>
  <c r="Y26" i="2"/>
  <c r="AX26" i="2"/>
  <c r="AX44" i="2"/>
  <c r="O44" i="2"/>
  <c r="O40" i="2"/>
  <c r="J76" i="5"/>
  <c r="F31" i="6"/>
  <c r="F31" i="8" s="1"/>
  <c r="G66" i="5"/>
  <c r="D613" i="6"/>
  <c r="D613" i="8" s="1"/>
  <c r="M537" i="6"/>
  <c r="M537" i="8" s="1"/>
  <c r="V537" i="6"/>
  <c r="V537" i="8" s="1"/>
  <c r="AA51" i="8"/>
  <c r="H51" i="8"/>
  <c r="Q4" i="6"/>
  <c r="Q4" i="8" s="1"/>
  <c r="H4" i="8"/>
  <c r="X53" i="8"/>
  <c r="F53" i="8"/>
  <c r="AA50" i="8"/>
  <c r="H50" i="8"/>
  <c r="Q80" i="6"/>
  <c r="Q80" i="8" s="1"/>
  <c r="H80" i="8"/>
  <c r="X52" i="8"/>
  <c r="F52" i="8"/>
  <c r="AA49" i="8"/>
  <c r="H49" i="8"/>
  <c r="AA19" i="8"/>
  <c r="H19" i="8"/>
  <c r="AA52" i="8"/>
  <c r="H52" i="8"/>
  <c r="AA53" i="8"/>
  <c r="H53" i="8"/>
  <c r="X18" i="8"/>
  <c r="F18" i="8"/>
  <c r="X47" i="8"/>
  <c r="F47" i="8"/>
  <c r="X19" i="8"/>
  <c r="F19" i="8"/>
  <c r="F29" i="6"/>
  <c r="F29" i="8" s="1"/>
  <c r="G76" i="5"/>
  <c r="G77" i="5" s="1"/>
  <c r="K78" i="5" s="1"/>
  <c r="G64" i="5"/>
  <c r="F30" i="6"/>
  <c r="H76" i="5"/>
  <c r="H77" i="5" s="1"/>
  <c r="H64" i="5"/>
  <c r="F37" i="6"/>
  <c r="F37" i="8" s="1"/>
  <c r="G72" i="5"/>
  <c r="O76" i="5"/>
  <c r="P76" i="5"/>
  <c r="O64" i="5"/>
  <c r="P64" i="5"/>
  <c r="I50" i="5"/>
  <c r="O31" i="6"/>
  <c r="J66" i="5"/>
  <c r="AB4" i="6"/>
  <c r="AB4" i="8" s="1"/>
  <c r="AB80" i="6"/>
  <c r="AB80" i="8" s="1"/>
  <c r="J47" i="5"/>
  <c r="J49" i="5"/>
  <c r="H156" i="6" s="1"/>
  <c r="AB156" i="6" s="1"/>
  <c r="J48" i="5"/>
  <c r="G156" i="6" s="1"/>
  <c r="AA156" i="6" s="1"/>
  <c r="G80" i="6"/>
  <c r="H27" i="6"/>
  <c r="H27" i="8" s="1"/>
  <c r="H62" i="5"/>
  <c r="H35" i="6"/>
  <c r="H35" i="8" s="1"/>
  <c r="H70" i="5"/>
  <c r="G75" i="5"/>
  <c r="F40" i="6"/>
  <c r="F40" i="8" s="1"/>
  <c r="H36" i="6"/>
  <c r="H36" i="8" s="1"/>
  <c r="H71" i="5"/>
  <c r="H30" i="6"/>
  <c r="H65" i="5"/>
  <c r="F36" i="6"/>
  <c r="F36" i="8" s="1"/>
  <c r="G71" i="5"/>
  <c r="H61" i="5"/>
  <c r="H26" i="6"/>
  <c r="H26" i="8" s="1"/>
  <c r="F27" i="6"/>
  <c r="F27" i="8" s="1"/>
  <c r="G62" i="5"/>
  <c r="G61" i="5"/>
  <c r="G74" i="5"/>
  <c r="F39" i="6"/>
  <c r="F39" i="8" s="1"/>
  <c r="H34" i="6"/>
  <c r="H34" i="8" s="1"/>
  <c r="H69" i="5"/>
  <c r="H72" i="5"/>
  <c r="Q53" i="5"/>
  <c r="S53" i="5"/>
  <c r="H74" i="5"/>
  <c r="H39" i="6"/>
  <c r="H39" i="8" s="1"/>
  <c r="H59" i="5"/>
  <c r="H24" i="6"/>
  <c r="H24" i="8" s="1"/>
  <c r="H75" i="5"/>
  <c r="F35" i="6"/>
  <c r="F35" i="8" s="1"/>
  <c r="G70" i="5"/>
  <c r="H56" i="5"/>
  <c r="H21" i="6"/>
  <c r="H21" i="8" s="1"/>
  <c r="H29" i="6"/>
  <c r="H29" i="8" s="1"/>
  <c r="H31" i="6"/>
  <c r="H31" i="8" s="1"/>
  <c r="H66" i="5"/>
  <c r="G59" i="5"/>
  <c r="G56" i="5"/>
  <c r="G55" i="5"/>
  <c r="J46" i="5"/>
  <c r="K43" i="5"/>
  <c r="E18" i="2"/>
  <c r="H33" i="2"/>
  <c r="H63" i="5" s="1"/>
  <c r="BI27" i="2"/>
  <c r="H38" i="2"/>
  <c r="H68" i="5" s="1"/>
  <c r="G38" i="2"/>
  <c r="G68" i="5" s="1"/>
  <c r="G30" i="2"/>
  <c r="G22" i="2"/>
  <c r="H30" i="2"/>
  <c r="H60" i="5" s="1"/>
  <c r="X38" i="6" l="1"/>
  <c r="F46" i="8"/>
  <c r="X46" i="6"/>
  <c r="Q34" i="8"/>
  <c r="AA34" i="6"/>
  <c r="O31" i="8"/>
  <c r="X31" i="6"/>
  <c r="Q32" i="6"/>
  <c r="J67" i="5"/>
  <c r="O20" i="6"/>
  <c r="J87" i="2"/>
  <c r="AA64" i="6" s="1"/>
  <c r="AB62" i="8"/>
  <c r="AB60" i="8" s="1"/>
  <c r="AA62" i="6"/>
  <c r="Y62" i="6"/>
  <c r="Y62" i="8" s="1"/>
  <c r="Z62" i="8"/>
  <c r="Z60" i="8" s="1"/>
  <c r="P60" i="6"/>
  <c r="P62" i="8"/>
  <c r="P60" i="8" s="1"/>
  <c r="Q60" i="6"/>
  <c r="Q62" i="8"/>
  <c r="Q60" i="8" s="1"/>
  <c r="AB137" i="8"/>
  <c r="Z137" i="8"/>
  <c r="E63" i="2"/>
  <c r="I63" i="2" s="1"/>
  <c r="AB60" i="6"/>
  <c r="Q29" i="6"/>
  <c r="Y61" i="6"/>
  <c r="Z60" i="6"/>
  <c r="H32" i="8"/>
  <c r="H30" i="8"/>
  <c r="F30" i="8"/>
  <c r="AA48" i="8"/>
  <c r="AB69" i="6"/>
  <c r="AH37" i="6" s="1"/>
  <c r="H48" i="8"/>
  <c r="G69" i="6"/>
  <c r="G69" i="8" s="1"/>
  <c r="H69" i="6"/>
  <c r="H69" i="8" s="1"/>
  <c r="J73" i="5"/>
  <c r="I73" i="5"/>
  <c r="D689" i="6"/>
  <c r="D689" i="8" s="1"/>
  <c r="V613" i="6"/>
  <c r="V613" i="8" s="1"/>
  <c r="AB50" i="6"/>
  <c r="AB50" i="8" s="1"/>
  <c r="Y53" i="6"/>
  <c r="Y53" i="8" s="1"/>
  <c r="Y19" i="6"/>
  <c r="Y19" i="8" s="1"/>
  <c r="AB49" i="6"/>
  <c r="AB49" i="8" s="1"/>
  <c r="Y18" i="6"/>
  <c r="Y18" i="8" s="1"/>
  <c r="AB52" i="6"/>
  <c r="AB52" i="8" s="1"/>
  <c r="M613" i="6"/>
  <c r="M613" i="8" s="1"/>
  <c r="Y47" i="6"/>
  <c r="Y47" i="8" s="1"/>
  <c r="AB48" i="6"/>
  <c r="AB19" i="6"/>
  <c r="AB19" i="8" s="1"/>
  <c r="AB53" i="6"/>
  <c r="AB53" i="8" s="1"/>
  <c r="AB51" i="6"/>
  <c r="AB51" i="8" s="1"/>
  <c r="AA80" i="6"/>
  <c r="AA80" i="8" s="1"/>
  <c r="G80" i="8"/>
  <c r="Y52" i="6"/>
  <c r="Y52" i="8" s="1"/>
  <c r="L78" i="5"/>
  <c r="I64" i="5"/>
  <c r="I76" i="5"/>
  <c r="O37" i="6"/>
  <c r="X37" i="6" s="1"/>
  <c r="I72" i="5"/>
  <c r="J71" i="5"/>
  <c r="Q114" i="6"/>
  <c r="AA114" i="6" s="1"/>
  <c r="O114" i="6"/>
  <c r="X114" i="6" s="1"/>
  <c r="I62" i="5"/>
  <c r="Q37" i="6"/>
  <c r="AA37" i="6" s="1"/>
  <c r="J72" i="5"/>
  <c r="M66" i="5"/>
  <c r="Q107" i="6"/>
  <c r="BH38" i="2"/>
  <c r="AS22" i="2"/>
  <c r="AT27" i="2"/>
  <c r="AN27" i="2"/>
  <c r="AS30" i="2"/>
  <c r="Z22" i="2"/>
  <c r="AO22" i="2"/>
  <c r="Y27" i="2"/>
  <c r="Z27" i="2"/>
  <c r="AJ27" i="2"/>
  <c r="AT22" i="2"/>
  <c r="AD27" i="2"/>
  <c r="BD27" i="2"/>
  <c r="BC22" i="2"/>
  <c r="AE22" i="2"/>
  <c r="AN22" i="2"/>
  <c r="AD22" i="2"/>
  <c r="AE27" i="2"/>
  <c r="AS27" i="2"/>
  <c r="Y22" i="2"/>
  <c r="AI22" i="2"/>
  <c r="AI27" i="2"/>
  <c r="AT30" i="2"/>
  <c r="AO27" i="2"/>
  <c r="BC27" i="2"/>
  <c r="BD22" i="2"/>
  <c r="P27" i="2"/>
  <c r="O30" i="2"/>
  <c r="T27" i="2"/>
  <c r="T38" i="2"/>
  <c r="U27" i="2"/>
  <c r="T22" i="2"/>
  <c r="U22" i="2"/>
  <c r="O27" i="2"/>
  <c r="K47" i="5"/>
  <c r="K49" i="5"/>
  <c r="K48" i="5"/>
  <c r="G232" i="6" s="1"/>
  <c r="Q31" i="6"/>
  <c r="F25" i="6"/>
  <c r="F25" i="8" s="1"/>
  <c r="O30" i="6"/>
  <c r="I66" i="5"/>
  <c r="H33" i="6"/>
  <c r="H33" i="8" s="1"/>
  <c r="H28" i="6"/>
  <c r="H28" i="8" s="1"/>
  <c r="F33" i="6"/>
  <c r="F33" i="8" s="1"/>
  <c r="H25" i="6"/>
  <c r="H25" i="8" s="1"/>
  <c r="O29" i="6"/>
  <c r="X29" i="6" s="1"/>
  <c r="W53" i="5"/>
  <c r="U53" i="5"/>
  <c r="Q30" i="6"/>
  <c r="J65" i="5"/>
  <c r="J33" i="2"/>
  <c r="J63" i="5" s="1"/>
  <c r="F17" i="6"/>
  <c r="F17" i="8" s="1"/>
  <c r="K46" i="5"/>
  <c r="L43" i="5"/>
  <c r="E57" i="2"/>
  <c r="E79" i="2"/>
  <c r="I79" i="2" s="1"/>
  <c r="I19" i="2"/>
  <c r="O18" i="2"/>
  <c r="O79" i="2" s="1"/>
  <c r="E3" i="2"/>
  <c r="F5" i="2" s="1"/>
  <c r="F57" i="2"/>
  <c r="P30" i="2"/>
  <c r="AY30" i="2"/>
  <c r="AX30" i="2"/>
  <c r="AX27" i="2"/>
  <c r="AY27" i="2"/>
  <c r="AY22" i="2"/>
  <c r="AX22" i="2"/>
  <c r="AN38" i="2"/>
  <c r="AJ38" i="2"/>
  <c r="O38" i="2"/>
  <c r="BC30" i="2"/>
  <c r="BI30" i="2"/>
  <c r="U38" i="2"/>
  <c r="AI38" i="2"/>
  <c r="P38" i="2"/>
  <c r="AN30" i="2"/>
  <c r="AD30" i="2"/>
  <c r="BI38" i="2"/>
  <c r="AX38" i="2"/>
  <c r="AD38" i="2"/>
  <c r="BC38" i="2"/>
  <c r="AE30" i="2"/>
  <c r="AJ30" i="2"/>
  <c r="AY38" i="2"/>
  <c r="Y38" i="2"/>
  <c r="AI30" i="2"/>
  <c r="BD38" i="2"/>
  <c r="BD30" i="2"/>
  <c r="Z30" i="2"/>
  <c r="AO38" i="2"/>
  <c r="Y30" i="2"/>
  <c r="AO30" i="2"/>
  <c r="AE38" i="2"/>
  <c r="Z38" i="2"/>
  <c r="U30" i="2"/>
  <c r="T30" i="2"/>
  <c r="AT38" i="2"/>
  <c r="AS38" i="2"/>
  <c r="E30" i="4"/>
  <c r="Q107" i="8" l="1"/>
  <c r="O20" i="8"/>
  <c r="X20" i="6"/>
  <c r="X20" i="8" s="1"/>
  <c r="Q29" i="8"/>
  <c r="AA29" i="6"/>
  <c r="AB29" i="6" s="1"/>
  <c r="AB29" i="8" s="1"/>
  <c r="Q32" i="8"/>
  <c r="AA32" i="6"/>
  <c r="AA32" i="8" s="1"/>
  <c r="Z30" i="6"/>
  <c r="Z30" i="8" s="1"/>
  <c r="AA30" i="6"/>
  <c r="AA30" i="8" s="1"/>
  <c r="O30" i="8"/>
  <c r="X30" i="6"/>
  <c r="Q31" i="8"/>
  <c r="AA31" i="6"/>
  <c r="Z32" i="6"/>
  <c r="Z32" i="8" s="1"/>
  <c r="BH33" i="2"/>
  <c r="BH47" i="2" s="1"/>
  <c r="BH82" i="2" s="1"/>
  <c r="BC33" i="2"/>
  <c r="BC47" i="2" s="1"/>
  <c r="BI33" i="2"/>
  <c r="BI47" i="2" s="1"/>
  <c r="BI82" i="2" s="1"/>
  <c r="BD33" i="2"/>
  <c r="BD47" i="2" s="1"/>
  <c r="BD82" i="2" s="1"/>
  <c r="AA64" i="8"/>
  <c r="AA67" i="6"/>
  <c r="AA67" i="8" s="1"/>
  <c r="AA62" i="8"/>
  <c r="AA60" i="8" s="1"/>
  <c r="AA60" i="6"/>
  <c r="Y60" i="6"/>
  <c r="Y61" i="8"/>
  <c r="Y60" i="8" s="1"/>
  <c r="Y138" i="6"/>
  <c r="Y138" i="8" s="1"/>
  <c r="Z138" i="8"/>
  <c r="Z136" i="8" s="1"/>
  <c r="AA138" i="6"/>
  <c r="AA138" i="8" s="1"/>
  <c r="AB138" i="8"/>
  <c r="AB136" i="8" s="1"/>
  <c r="Y137" i="6"/>
  <c r="Z136" i="6"/>
  <c r="AA137" i="6"/>
  <c r="AB136" i="6"/>
  <c r="W30" i="6"/>
  <c r="W30" i="8" s="1"/>
  <c r="J38" i="2"/>
  <c r="J68" i="5" s="1"/>
  <c r="AB48" i="8"/>
  <c r="X46" i="8"/>
  <c r="Z69" i="6"/>
  <c r="AG37" i="6" s="1"/>
  <c r="Q19" i="2"/>
  <c r="O63" i="2"/>
  <c r="Q63" i="2" s="1"/>
  <c r="Y46" i="6"/>
  <c r="Y46" i="8" s="1"/>
  <c r="Q140" i="6"/>
  <c r="V689" i="6"/>
  <c r="V689" i="8" s="1"/>
  <c r="D765" i="6"/>
  <c r="D765" i="8" s="1"/>
  <c r="M689" i="6"/>
  <c r="M689" i="8" s="1"/>
  <c r="N73" i="5"/>
  <c r="Q114" i="8"/>
  <c r="M73" i="5"/>
  <c r="O114" i="8"/>
  <c r="Y31" i="6"/>
  <c r="Y31" i="8" s="1"/>
  <c r="X31" i="8"/>
  <c r="O37" i="8"/>
  <c r="AB69" i="8"/>
  <c r="AA156" i="8"/>
  <c r="G156" i="8"/>
  <c r="Q156" i="8"/>
  <c r="H156" i="8"/>
  <c r="X29" i="8"/>
  <c r="O29" i="8"/>
  <c r="AA232" i="6"/>
  <c r="AA232" i="8" s="1"/>
  <c r="G232" i="8"/>
  <c r="AB34" i="6"/>
  <c r="AB34" i="8" s="1"/>
  <c r="AA34" i="8"/>
  <c r="Q37" i="8"/>
  <c r="AB38" i="6"/>
  <c r="Q38" i="8"/>
  <c r="Y38" i="6"/>
  <c r="O38" i="8"/>
  <c r="Q30" i="8"/>
  <c r="M64" i="5"/>
  <c r="M76" i="5"/>
  <c r="O105" i="6"/>
  <c r="N64" i="5"/>
  <c r="N76" i="5"/>
  <c r="Q105" i="6"/>
  <c r="Q113" i="6"/>
  <c r="N72" i="5"/>
  <c r="O113" i="6"/>
  <c r="M72" i="5"/>
  <c r="M70" i="5"/>
  <c r="O102" i="6"/>
  <c r="M59" i="5"/>
  <c r="M62" i="5"/>
  <c r="N61" i="5"/>
  <c r="N59" i="5"/>
  <c r="N56" i="5"/>
  <c r="N62" i="5"/>
  <c r="X27" i="6"/>
  <c r="Q36" i="6"/>
  <c r="AA36" i="6" s="1"/>
  <c r="M56" i="5"/>
  <c r="N66" i="5"/>
  <c r="AB156" i="8"/>
  <c r="O107" i="6"/>
  <c r="H232" i="6"/>
  <c r="I59" i="5"/>
  <c r="L47" i="5"/>
  <c r="L49" i="5"/>
  <c r="L48" i="5"/>
  <c r="G308" i="6" s="1"/>
  <c r="O24" i="6"/>
  <c r="Y53" i="5"/>
  <c r="AA53" i="5"/>
  <c r="Q39" i="6"/>
  <c r="J74" i="5"/>
  <c r="Q35" i="6"/>
  <c r="AA35" i="6" s="1"/>
  <c r="J70" i="5"/>
  <c r="O40" i="6"/>
  <c r="I75" i="5"/>
  <c r="J62" i="5"/>
  <c r="Q27" i="6"/>
  <c r="X26" i="6"/>
  <c r="I61" i="5"/>
  <c r="Q21" i="6"/>
  <c r="J56" i="5"/>
  <c r="J75" i="5"/>
  <c r="Q40" i="6"/>
  <c r="Q26" i="6"/>
  <c r="AA26" i="6" s="1"/>
  <c r="J61" i="5"/>
  <c r="I71" i="5"/>
  <c r="O36" i="6"/>
  <c r="O35" i="6"/>
  <c r="X35" i="6" s="1"/>
  <c r="I70" i="5"/>
  <c r="J59" i="5"/>
  <c r="Q24" i="6"/>
  <c r="X21" i="6"/>
  <c r="I56" i="5"/>
  <c r="I74" i="5"/>
  <c r="O39" i="6"/>
  <c r="Q28" i="6"/>
  <c r="Q28" i="8" s="1"/>
  <c r="I22" i="2"/>
  <c r="I30" i="2"/>
  <c r="I60" i="5" s="1"/>
  <c r="I38" i="2"/>
  <c r="I68" i="5" s="1"/>
  <c r="J30" i="2"/>
  <c r="J60" i="5" s="1"/>
  <c r="M65" i="5"/>
  <c r="L46" i="5"/>
  <c r="M43" i="5"/>
  <c r="F25" i="2"/>
  <c r="F28" i="2"/>
  <c r="O57" i="2"/>
  <c r="T18" i="2"/>
  <c r="T79" i="2" s="1"/>
  <c r="N21" i="2"/>
  <c r="G3" i="2"/>
  <c r="H3" i="2" s="1"/>
  <c r="I5" i="2" s="1"/>
  <c r="P57" i="2"/>
  <c r="P22" i="2"/>
  <c r="O22" i="2"/>
  <c r="F30" i="4"/>
  <c r="G30" i="4" s="1"/>
  <c r="H30" i="4" s="1"/>
  <c r="I30" i="4" s="1"/>
  <c r="J30" i="4" s="1"/>
  <c r="K30" i="4" s="1"/>
  <c r="L30" i="4" s="1"/>
  <c r="M30" i="4" s="1"/>
  <c r="N30" i="4" s="1"/>
  <c r="O30" i="4" s="1"/>
  <c r="F28" i="1"/>
  <c r="G28" i="1"/>
  <c r="H28" i="1"/>
  <c r="E28" i="1"/>
  <c r="F25" i="1"/>
  <c r="G25" i="1"/>
  <c r="H25" i="1"/>
  <c r="E25" i="1"/>
  <c r="G22" i="1"/>
  <c r="E22" i="1"/>
  <c r="G17" i="1"/>
  <c r="F17" i="1"/>
  <c r="E17" i="1"/>
  <c r="Q105" i="8" l="1"/>
  <c r="O113" i="8"/>
  <c r="O107" i="8"/>
  <c r="Q113" i="8"/>
  <c r="O105" i="8"/>
  <c r="O102" i="8"/>
  <c r="Q27" i="8"/>
  <c r="AA27" i="6"/>
  <c r="O40" i="8"/>
  <c r="X40" i="6"/>
  <c r="Q21" i="8"/>
  <c r="AA21" i="6"/>
  <c r="Q39" i="8"/>
  <c r="AA39" i="6"/>
  <c r="O39" i="8"/>
  <c r="X39" i="6"/>
  <c r="Q24" i="8"/>
  <c r="AA24" i="6"/>
  <c r="O36" i="8"/>
  <c r="X36" i="6"/>
  <c r="Q40" i="8"/>
  <c r="AA40" i="6"/>
  <c r="O24" i="8"/>
  <c r="X24" i="6"/>
  <c r="Z28" i="6"/>
  <c r="Z42" i="6" s="1"/>
  <c r="F412" i="6"/>
  <c r="X412" i="6" s="1"/>
  <c r="AI33" i="2"/>
  <c r="AI47" i="2" s="1"/>
  <c r="AI82" i="2" s="1"/>
  <c r="F564" i="6"/>
  <c r="X564" i="6" s="1"/>
  <c r="AS33" i="2"/>
  <c r="AS47" i="2" s="1"/>
  <c r="AN33" i="2"/>
  <c r="AN47" i="2" s="1"/>
  <c r="AN82" i="2" s="1"/>
  <c r="Z33" i="2"/>
  <c r="Z47" i="2" s="1"/>
  <c r="Z82" i="2" s="1"/>
  <c r="AO33" i="2"/>
  <c r="AO47" i="2" s="1"/>
  <c r="AO82" i="2" s="1"/>
  <c r="H336" i="6"/>
  <c r="AA336" i="6" s="1"/>
  <c r="AE33" i="2"/>
  <c r="AE47" i="2" s="1"/>
  <c r="AE82" i="2" s="1"/>
  <c r="H564" i="6"/>
  <c r="AA564" i="6" s="1"/>
  <c r="AT33" i="2"/>
  <c r="AT47" i="2" s="1"/>
  <c r="AT82" i="2" s="1"/>
  <c r="H108" i="6"/>
  <c r="AA108" i="6" s="1"/>
  <c r="P33" i="2"/>
  <c r="P47" i="2" s="1"/>
  <c r="F184" i="6"/>
  <c r="X184" i="6" s="1"/>
  <c r="T33" i="2"/>
  <c r="T47" i="2" s="1"/>
  <c r="T82" i="2" s="1"/>
  <c r="AY33" i="2"/>
  <c r="AY47" i="2" s="1"/>
  <c r="AY82" i="2" s="1"/>
  <c r="H412" i="6"/>
  <c r="AA412" i="6" s="1"/>
  <c r="AJ33" i="2"/>
  <c r="AJ47" i="2" s="1"/>
  <c r="AJ82" i="2" s="1"/>
  <c r="F108" i="6"/>
  <c r="X108" i="6" s="1"/>
  <c r="O33" i="2"/>
  <c r="O47" i="2" s="1"/>
  <c r="AX33" i="2"/>
  <c r="AX47" i="2" s="1"/>
  <c r="AX82" i="2" s="1"/>
  <c r="Y33" i="2"/>
  <c r="Y47" i="2" s="1"/>
  <c r="Y82" i="2" s="1"/>
  <c r="F336" i="6"/>
  <c r="X336" i="6" s="1"/>
  <c r="AD33" i="2"/>
  <c r="AD47" i="2" s="1"/>
  <c r="H184" i="6"/>
  <c r="AA184" i="6" s="1"/>
  <c r="U33" i="2"/>
  <c r="U47" i="2" s="1"/>
  <c r="U82" i="2" s="1"/>
  <c r="AB32" i="6"/>
  <c r="AB32" i="8" s="1"/>
  <c r="Y20" i="6"/>
  <c r="Y20" i="8" s="1"/>
  <c r="AA136" i="6"/>
  <c r="AA137" i="8"/>
  <c r="AA136" i="8" s="1"/>
  <c r="Y136" i="6"/>
  <c r="Y137" i="8"/>
  <c r="Y136" i="8" s="1"/>
  <c r="AA29" i="8"/>
  <c r="Z28" i="8"/>
  <c r="AD82" i="2"/>
  <c r="BC82" i="2"/>
  <c r="AS82" i="2"/>
  <c r="Q140" i="8"/>
  <c r="Q143" i="6"/>
  <c r="Q143" i="8" s="1"/>
  <c r="T63" i="2"/>
  <c r="V63" i="2" s="1"/>
  <c r="Z69" i="8"/>
  <c r="M765" i="6"/>
  <c r="M765" i="8" s="1"/>
  <c r="V765" i="6"/>
  <c r="V765" i="8" s="1"/>
  <c r="X35" i="8"/>
  <c r="O35" i="8"/>
  <c r="AB31" i="6"/>
  <c r="AB31" i="8" s="1"/>
  <c r="AA31" i="8"/>
  <c r="AA35" i="8"/>
  <c r="Q35" i="8"/>
  <c r="AB38" i="8"/>
  <c r="AA38" i="8"/>
  <c r="Y29" i="6"/>
  <c r="Y29" i="8" s="1"/>
  <c r="Q232" i="6"/>
  <c r="Q232" i="8" s="1"/>
  <c r="H232" i="8"/>
  <c r="Q36" i="8"/>
  <c r="X21" i="8"/>
  <c r="O21" i="8"/>
  <c r="AA26" i="8"/>
  <c r="Q26" i="8"/>
  <c r="X26" i="8"/>
  <c r="O26" i="8"/>
  <c r="AA308" i="6"/>
  <c r="AA308" i="8" s="1"/>
  <c r="G308" i="8"/>
  <c r="Y30" i="6"/>
  <c r="Y30" i="8" s="1"/>
  <c r="X30" i="8"/>
  <c r="O27" i="8"/>
  <c r="Y38" i="8"/>
  <c r="X38" i="8"/>
  <c r="AB37" i="6"/>
  <c r="AB37" i="8" s="1"/>
  <c r="AA37" i="8"/>
  <c r="Y37" i="6"/>
  <c r="Y37" i="8" s="1"/>
  <c r="X37" i="8"/>
  <c r="AB76" i="5"/>
  <c r="AA76" i="5"/>
  <c r="AA64" i="5"/>
  <c r="AB64" i="5"/>
  <c r="Q102" i="6"/>
  <c r="M61" i="5"/>
  <c r="H22" i="1"/>
  <c r="R61" i="5"/>
  <c r="Q178" i="6"/>
  <c r="Q178" i="8" s="1"/>
  <c r="Q61" i="5"/>
  <c r="O178" i="6"/>
  <c r="O178" i="8" s="1"/>
  <c r="O183" i="6"/>
  <c r="O183" i="8" s="1"/>
  <c r="Q66" i="5"/>
  <c r="Q60" i="5"/>
  <c r="R56" i="5"/>
  <c r="Q183" i="6"/>
  <c r="Q183" i="8" s="1"/>
  <c r="R66" i="5"/>
  <c r="H308" i="6"/>
  <c r="AB232" i="6"/>
  <c r="AB232" i="8" s="1"/>
  <c r="U57" i="2"/>
  <c r="Y18" i="2"/>
  <c r="Y79" i="2" s="1"/>
  <c r="V19" i="2"/>
  <c r="M47" i="5"/>
  <c r="M49" i="5"/>
  <c r="M48" i="5"/>
  <c r="Q112" i="6"/>
  <c r="N71" i="5"/>
  <c r="Q111" i="6"/>
  <c r="N70" i="5"/>
  <c r="O115" i="6"/>
  <c r="M74" i="5"/>
  <c r="Q115" i="6"/>
  <c r="N74" i="5"/>
  <c r="O112" i="6"/>
  <c r="M71" i="5"/>
  <c r="Q106" i="6"/>
  <c r="N65" i="5"/>
  <c r="Q116" i="6"/>
  <c r="N75" i="5"/>
  <c r="O116" i="6"/>
  <c r="M75" i="5"/>
  <c r="O17" i="6"/>
  <c r="O17" i="8" s="1"/>
  <c r="AC53" i="5"/>
  <c r="AE53" i="5"/>
  <c r="Q33" i="6"/>
  <c r="Q33" i="8" s="1"/>
  <c r="Q25" i="6"/>
  <c r="Q25" i="8" s="1"/>
  <c r="O33" i="6"/>
  <c r="O33" i="8" s="1"/>
  <c r="O25" i="6"/>
  <c r="O25" i="8" s="1"/>
  <c r="AB30" i="6"/>
  <c r="AB30" i="8" s="1"/>
  <c r="AA28" i="6"/>
  <c r="AA28" i="8" s="1"/>
  <c r="Q65" i="5"/>
  <c r="Q216" i="6"/>
  <c r="R38" i="2"/>
  <c r="N68" i="5" s="1"/>
  <c r="Q103" i="6"/>
  <c r="R30" i="2"/>
  <c r="N60" i="5" s="1"/>
  <c r="O97" i="6"/>
  <c r="Q22" i="2"/>
  <c r="M46" i="5"/>
  <c r="N43" i="5"/>
  <c r="O111" i="6"/>
  <c r="Q38" i="2"/>
  <c r="M68" i="5" s="1"/>
  <c r="R22" i="2"/>
  <c r="Q97" i="6"/>
  <c r="Q33" i="2"/>
  <c r="M63" i="5" s="1"/>
  <c r="O106" i="6"/>
  <c r="Q30" i="2"/>
  <c r="M60" i="5" s="1"/>
  <c r="O103" i="6"/>
  <c r="R27" i="2"/>
  <c r="N57" i="5" s="1"/>
  <c r="Q100" i="6"/>
  <c r="Q27" i="2"/>
  <c r="M57" i="5" s="1"/>
  <c r="O100" i="6"/>
  <c r="Q79" i="2"/>
  <c r="F22" i="2"/>
  <c r="H25" i="2"/>
  <c r="J25" i="2" s="1"/>
  <c r="H17" i="1"/>
  <c r="F27" i="2"/>
  <c r="H28" i="2"/>
  <c r="J28" i="2" s="1"/>
  <c r="T57" i="2"/>
  <c r="S21" i="2"/>
  <c r="J3" i="2"/>
  <c r="K3" i="2" s="1"/>
  <c r="M3" i="2" s="1"/>
  <c r="N3" i="2" s="1"/>
  <c r="V79" i="2"/>
  <c r="E42" i="1"/>
  <c r="G42" i="1"/>
  <c r="G14" i="1"/>
  <c r="E14" i="1"/>
  <c r="H14" i="1"/>
  <c r="F14" i="1"/>
  <c r="P86" i="2" l="1"/>
  <c r="P82" i="2"/>
  <c r="O106" i="8"/>
  <c r="Q106" i="8"/>
  <c r="Q100" i="8"/>
  <c r="O111" i="8"/>
  <c r="O97" i="8"/>
  <c r="O116" i="8"/>
  <c r="X116" i="6"/>
  <c r="Q115" i="8"/>
  <c r="Q111" i="8"/>
  <c r="Q97" i="8"/>
  <c r="O103" i="8"/>
  <c r="Q103" i="8"/>
  <c r="Q116" i="8"/>
  <c r="O112" i="8"/>
  <c r="O115" i="8"/>
  <c r="Q112" i="8"/>
  <c r="O100" i="8"/>
  <c r="X100" i="6"/>
  <c r="Q102" i="8"/>
  <c r="F108" i="8"/>
  <c r="W108" i="6"/>
  <c r="X108" i="8"/>
  <c r="AA640" i="8"/>
  <c r="Z108" i="6"/>
  <c r="H108" i="8"/>
  <c r="AA108" i="8"/>
  <c r="Z336" i="6"/>
  <c r="H336" i="8"/>
  <c r="AA336" i="8"/>
  <c r="W564" i="6"/>
  <c r="X564" i="8"/>
  <c r="F564" i="8"/>
  <c r="W412" i="6"/>
  <c r="X412" i="8"/>
  <c r="F412" i="8"/>
  <c r="W336" i="6"/>
  <c r="X336" i="8"/>
  <c r="F336" i="8"/>
  <c r="AA184" i="8"/>
  <c r="H184" i="8"/>
  <c r="Z184" i="6"/>
  <c r="X640" i="8"/>
  <c r="Z412" i="6"/>
  <c r="AA412" i="8"/>
  <c r="H412" i="8"/>
  <c r="X184" i="8"/>
  <c r="F184" i="8"/>
  <c r="W184" i="6"/>
  <c r="Z564" i="6"/>
  <c r="H564" i="8"/>
  <c r="AA564" i="8"/>
  <c r="H55" i="5"/>
  <c r="Q23" i="6"/>
  <c r="J58" i="5"/>
  <c r="J27" i="2"/>
  <c r="J57" i="5" s="1"/>
  <c r="AH39" i="6"/>
  <c r="AA63" i="6"/>
  <c r="Z42" i="8"/>
  <c r="O86" i="2"/>
  <c r="O82" i="2"/>
  <c r="Q216" i="8"/>
  <c r="Q219" i="6"/>
  <c r="Q219" i="8" s="1"/>
  <c r="Z57" i="2"/>
  <c r="Y63" i="2"/>
  <c r="AA63" i="2" s="1"/>
  <c r="Q292" i="6"/>
  <c r="Y35" i="6"/>
  <c r="Y35" i="8" s="1"/>
  <c r="AA33" i="6"/>
  <c r="AA33" i="8" s="1"/>
  <c r="H42" i="1"/>
  <c r="X17" i="6"/>
  <c r="X17" i="8" s="1"/>
  <c r="X25" i="6"/>
  <c r="X25" i="8" s="1"/>
  <c r="Y26" i="6"/>
  <c r="Y26" i="8" s="1"/>
  <c r="AB35" i="6"/>
  <c r="AB35" i="8" s="1"/>
  <c r="Y21" i="6"/>
  <c r="Y21" i="8" s="1"/>
  <c r="AB27" i="6"/>
  <c r="AB27" i="8" s="1"/>
  <c r="AA27" i="8"/>
  <c r="Y39" i="6"/>
  <c r="Y39" i="8" s="1"/>
  <c r="X39" i="8"/>
  <c r="Y27" i="6"/>
  <c r="Y27" i="8" s="1"/>
  <c r="X27" i="8"/>
  <c r="AB36" i="6"/>
  <c r="AB36" i="8" s="1"/>
  <c r="AA36" i="8"/>
  <c r="Q308" i="6"/>
  <c r="Q308" i="8" s="1"/>
  <c r="H308" i="8"/>
  <c r="AB21" i="6"/>
  <c r="AB21" i="8" s="1"/>
  <c r="AA21" i="8"/>
  <c r="AB40" i="6"/>
  <c r="AB40" i="8" s="1"/>
  <c r="AA40" i="8"/>
  <c r="Y24" i="6"/>
  <c r="Y24" i="8" s="1"/>
  <c r="X24" i="8"/>
  <c r="Y36" i="6"/>
  <c r="Y36" i="8" s="1"/>
  <c r="X36" i="8"/>
  <c r="Y40" i="6"/>
  <c r="Y40" i="8" s="1"/>
  <c r="X40" i="8"/>
  <c r="AB26" i="6"/>
  <c r="AB26" i="8" s="1"/>
  <c r="AB39" i="6"/>
  <c r="AB39" i="8" s="1"/>
  <c r="AA39" i="8"/>
  <c r="AB24" i="6"/>
  <c r="AB24" i="8" s="1"/>
  <c r="AA24" i="8"/>
  <c r="AA25" i="6"/>
  <c r="AA25" i="8" s="1"/>
  <c r="X33" i="6"/>
  <c r="X33" i="8" s="1"/>
  <c r="O179" i="6"/>
  <c r="Q173" i="6"/>
  <c r="Q62" i="5"/>
  <c r="O254" i="6"/>
  <c r="O254" i="8" s="1"/>
  <c r="U61" i="5"/>
  <c r="O330" i="6"/>
  <c r="O330" i="8" s="1"/>
  <c r="Y61" i="5"/>
  <c r="Q254" i="6"/>
  <c r="Q254" i="8" s="1"/>
  <c r="V61" i="5"/>
  <c r="O259" i="6"/>
  <c r="O259" i="8" s="1"/>
  <c r="U66" i="5"/>
  <c r="Q259" i="6"/>
  <c r="Q259" i="8" s="1"/>
  <c r="V66" i="5"/>
  <c r="X21" i="2"/>
  <c r="AB308" i="6"/>
  <c r="AB308" i="8" s="1"/>
  <c r="H384" i="6"/>
  <c r="R74" i="5"/>
  <c r="Q191" i="6"/>
  <c r="Q191" i="8" s="1"/>
  <c r="Q176" i="6"/>
  <c r="Q176" i="8" s="1"/>
  <c r="R59" i="5"/>
  <c r="O173" i="6"/>
  <c r="O173" i="8" s="1"/>
  <c r="Q56" i="5"/>
  <c r="R70" i="5"/>
  <c r="Q187" i="6"/>
  <c r="Q187" i="8" s="1"/>
  <c r="Q59" i="5"/>
  <c r="O176" i="6"/>
  <c r="O176" i="8" s="1"/>
  <c r="Q70" i="5"/>
  <c r="O187" i="6"/>
  <c r="O187" i="8" s="1"/>
  <c r="Q182" i="6"/>
  <c r="Q182" i="8" s="1"/>
  <c r="R65" i="5"/>
  <c r="Q75" i="5"/>
  <c r="O192" i="6"/>
  <c r="O192" i="8" s="1"/>
  <c r="O191" i="6"/>
  <c r="O191" i="8" s="1"/>
  <c r="Q74" i="5"/>
  <c r="O188" i="6"/>
  <c r="O188" i="8" s="1"/>
  <c r="Q71" i="5"/>
  <c r="R75" i="5"/>
  <c r="Q192" i="6"/>
  <c r="Q192" i="8" s="1"/>
  <c r="Q188" i="6"/>
  <c r="Q188" i="8" s="1"/>
  <c r="R71" i="5"/>
  <c r="R62" i="5"/>
  <c r="Q179" i="6"/>
  <c r="Q179" i="8" s="1"/>
  <c r="Y57" i="2"/>
  <c r="AA79" i="2"/>
  <c r="G384" i="6"/>
  <c r="R57" i="5"/>
  <c r="Q57" i="5"/>
  <c r="R63" i="5"/>
  <c r="R60" i="5"/>
  <c r="Q63" i="5"/>
  <c r="O182" i="6"/>
  <c r="O182" i="8" s="1"/>
  <c r="N47" i="5"/>
  <c r="N48" i="5"/>
  <c r="N49" i="5"/>
  <c r="AD18" i="2"/>
  <c r="AD79" i="2" s="1"/>
  <c r="Q109" i="6"/>
  <c r="Q109" i="8" s="1"/>
  <c r="AA19" i="2"/>
  <c r="Q104" i="6"/>
  <c r="Q104" i="8" s="1"/>
  <c r="H23" i="6"/>
  <c r="H58" i="5"/>
  <c r="AI53" i="5"/>
  <c r="AG53" i="5"/>
  <c r="AB28" i="6"/>
  <c r="AB28" i="8" s="1"/>
  <c r="Q68" i="5"/>
  <c r="R68" i="5"/>
  <c r="Q101" i="6"/>
  <c r="Q101" i="8" s="1"/>
  <c r="O98" i="6"/>
  <c r="O98" i="8" s="1"/>
  <c r="O109" i="6"/>
  <c r="O109" i="8" s="1"/>
  <c r="O93" i="6"/>
  <c r="O93" i="8" s="1"/>
  <c r="O101" i="6"/>
  <c r="O101" i="8" s="1"/>
  <c r="Q93" i="6"/>
  <c r="Q93" i="8" s="1"/>
  <c r="N46" i="5"/>
  <c r="O43" i="5"/>
  <c r="V65" i="5"/>
  <c r="U65" i="5"/>
  <c r="Q98" i="6"/>
  <c r="Q98" i="8" s="1"/>
  <c r="O104" i="6"/>
  <c r="O104" i="8" s="1"/>
  <c r="Q47" i="2"/>
  <c r="Q86" i="2" s="1"/>
  <c r="H22" i="2"/>
  <c r="H20" i="6"/>
  <c r="H27" i="2"/>
  <c r="H57" i="5" s="1"/>
  <c r="F47" i="2"/>
  <c r="L5" i="2"/>
  <c r="O5" i="2"/>
  <c r="P3" i="2"/>
  <c r="Q3" i="2" s="1"/>
  <c r="F86" i="2" l="1"/>
  <c r="F82" i="2"/>
  <c r="J68" i="4"/>
  <c r="H74" i="1"/>
  <c r="AA23" i="6"/>
  <c r="Z564" i="8"/>
  <c r="AB564" i="6"/>
  <c r="AB564" i="8" s="1"/>
  <c r="W184" i="8"/>
  <c r="Y184" i="6"/>
  <c r="Y184" i="8" s="1"/>
  <c r="W564" i="8"/>
  <c r="Y564" i="6"/>
  <c r="Y564" i="8" s="1"/>
  <c r="Z412" i="8"/>
  <c r="AB412" i="6"/>
  <c r="AB412" i="8" s="1"/>
  <c r="Z184" i="8"/>
  <c r="AB184" i="6"/>
  <c r="AB184" i="8" s="1"/>
  <c r="W412" i="8"/>
  <c r="Y412" i="6"/>
  <c r="Y412" i="8" s="1"/>
  <c r="Z108" i="8"/>
  <c r="AB108" i="6"/>
  <c r="AB108" i="8" s="1"/>
  <c r="W336" i="8"/>
  <c r="Y336" i="6"/>
  <c r="Y336" i="8" s="1"/>
  <c r="Z336" i="8"/>
  <c r="AB336" i="6"/>
  <c r="AB336" i="8" s="1"/>
  <c r="W108" i="8"/>
  <c r="Y108" i="6"/>
  <c r="Y108" i="8" s="1"/>
  <c r="Q23" i="8"/>
  <c r="Q22" i="6"/>
  <c r="Q22" i="8" s="1"/>
  <c r="J55" i="5"/>
  <c r="Q20" i="6"/>
  <c r="J22" i="2"/>
  <c r="J47" i="2" s="1"/>
  <c r="J86" i="2" s="1"/>
  <c r="AA63" i="8"/>
  <c r="AA65" i="6"/>
  <c r="AA65" i="8" s="1"/>
  <c r="AA68" i="6"/>
  <c r="AA68" i="8" s="1"/>
  <c r="Q292" i="8"/>
  <c r="Q295" i="6"/>
  <c r="Q295" i="8" s="1"/>
  <c r="AD63" i="2"/>
  <c r="AF63" i="2" s="1"/>
  <c r="H78" i="1"/>
  <c r="Q368" i="6"/>
  <c r="F88" i="2"/>
  <c r="Y17" i="6"/>
  <c r="Y17" i="8" s="1"/>
  <c r="AB33" i="6"/>
  <c r="AB33" i="8" s="1"/>
  <c r="Y33" i="6"/>
  <c r="Y33" i="8" s="1"/>
  <c r="Y25" i="6"/>
  <c r="Y25" i="8" s="1"/>
  <c r="AB25" i="6"/>
  <c r="AB25" i="8" s="1"/>
  <c r="Q169" i="6"/>
  <c r="Q169" i="8" s="1"/>
  <c r="Q173" i="8"/>
  <c r="AA384" i="6"/>
  <c r="AA384" i="8" s="1"/>
  <c r="G384" i="8"/>
  <c r="O177" i="6"/>
  <c r="O177" i="8" s="1"/>
  <c r="O179" i="8"/>
  <c r="H20" i="8"/>
  <c r="AA23" i="8"/>
  <c r="H23" i="8"/>
  <c r="Q384" i="6"/>
  <c r="Q384" i="8" s="1"/>
  <c r="H384" i="8"/>
  <c r="AJ76" i="5"/>
  <c r="AI76" i="5"/>
  <c r="AI64" i="5"/>
  <c r="AJ64" i="5"/>
  <c r="AF19" i="2"/>
  <c r="AD57" i="2"/>
  <c r="AI18" i="2"/>
  <c r="AI79" i="2" s="1"/>
  <c r="AC21" i="2"/>
  <c r="Q330" i="6"/>
  <c r="Q330" i="8" s="1"/>
  <c r="Z61" i="5"/>
  <c r="Q335" i="6"/>
  <c r="Q335" i="8" s="1"/>
  <c r="Z66" i="5"/>
  <c r="O335" i="6"/>
  <c r="O335" i="8" s="1"/>
  <c r="Y66" i="5"/>
  <c r="H460" i="6"/>
  <c r="O185" i="6"/>
  <c r="O185" i="8" s="1"/>
  <c r="Q185" i="6"/>
  <c r="Q185" i="8" s="1"/>
  <c r="U62" i="5"/>
  <c r="O255" i="6"/>
  <c r="O255" i="8" s="1"/>
  <c r="Q263" i="6"/>
  <c r="Q263" i="8" s="1"/>
  <c r="V70" i="5"/>
  <c r="O267" i="6"/>
  <c r="O267" i="8" s="1"/>
  <c r="U74" i="5"/>
  <c r="Q255" i="6"/>
  <c r="Q255" i="8" s="1"/>
  <c r="V62" i="5"/>
  <c r="O252" i="6"/>
  <c r="O252" i="8" s="1"/>
  <c r="U59" i="5"/>
  <c r="U75" i="5"/>
  <c r="O268" i="6"/>
  <c r="O268" i="8" s="1"/>
  <c r="Q249" i="6"/>
  <c r="Q249" i="8" s="1"/>
  <c r="V56" i="5"/>
  <c r="Q267" i="6"/>
  <c r="Q267" i="8" s="1"/>
  <c r="V74" i="5"/>
  <c r="U56" i="5"/>
  <c r="O249" i="6"/>
  <c r="O249" i="8" s="1"/>
  <c r="Q252" i="6"/>
  <c r="Q252" i="8" s="1"/>
  <c r="V59" i="5"/>
  <c r="O264" i="6"/>
  <c r="O264" i="8" s="1"/>
  <c r="U71" i="5"/>
  <c r="O263" i="6"/>
  <c r="O263" i="8" s="1"/>
  <c r="U70" i="5"/>
  <c r="Q264" i="6"/>
  <c r="Q264" i="8" s="1"/>
  <c r="V71" i="5"/>
  <c r="Q268" i="6"/>
  <c r="Q268" i="8" s="1"/>
  <c r="V75" i="5"/>
  <c r="U63" i="5"/>
  <c r="O258" i="6"/>
  <c r="O258" i="8" s="1"/>
  <c r="V60" i="5"/>
  <c r="AB384" i="6"/>
  <c r="AB384" i="8" s="1"/>
  <c r="U68" i="5"/>
  <c r="G460" i="6"/>
  <c r="V63" i="5"/>
  <c r="Q258" i="6"/>
  <c r="Q258" i="8" s="1"/>
  <c r="U57" i="5"/>
  <c r="U60" i="5"/>
  <c r="V57" i="5"/>
  <c r="V86" i="2"/>
  <c r="Q180" i="6"/>
  <c r="Q180" i="8" s="1"/>
  <c r="O174" i="6"/>
  <c r="O174" i="8" s="1"/>
  <c r="O169" i="6"/>
  <c r="O169" i="8" s="1"/>
  <c r="O180" i="6"/>
  <c r="O180" i="8" s="1"/>
  <c r="Q177" i="6"/>
  <c r="Q177" i="8" s="1"/>
  <c r="Q174" i="6"/>
  <c r="Q174" i="8" s="1"/>
  <c r="W86" i="2"/>
  <c r="O47" i="5"/>
  <c r="O49" i="5"/>
  <c r="O48" i="5"/>
  <c r="AE57" i="2"/>
  <c r="AK53" i="5"/>
  <c r="AM53" i="5"/>
  <c r="V68" i="5"/>
  <c r="Y65" i="5"/>
  <c r="O46" i="5"/>
  <c r="P43" i="5"/>
  <c r="Q118" i="6"/>
  <c r="Q139" i="6" s="1"/>
  <c r="O118" i="6"/>
  <c r="P139" i="6" s="1"/>
  <c r="Z65" i="5"/>
  <c r="H47" i="2"/>
  <c r="H17" i="6"/>
  <c r="H17" i="8" s="1"/>
  <c r="H22" i="6"/>
  <c r="H22" i="8" s="1"/>
  <c r="AF79" i="2"/>
  <c r="S3" i="2"/>
  <c r="T3" i="2" s="1"/>
  <c r="R5" i="2"/>
  <c r="H86" i="2" l="1"/>
  <c r="H82" i="2"/>
  <c r="AA20" i="6"/>
  <c r="AA20" i="8" s="1"/>
  <c r="Q20" i="8"/>
  <c r="Q17" i="6"/>
  <c r="Q144" i="6"/>
  <c r="Q141" i="6"/>
  <c r="Q368" i="8"/>
  <c r="Q371" i="6"/>
  <c r="AN18" i="2"/>
  <c r="AN79" i="2" s="1"/>
  <c r="AI63" i="2"/>
  <c r="AK63" i="2" s="1"/>
  <c r="Q444" i="6"/>
  <c r="P59" i="8"/>
  <c r="P139" i="8"/>
  <c r="O118" i="8"/>
  <c r="Q139" i="8"/>
  <c r="Q118" i="8"/>
  <c r="Q70" i="6"/>
  <c r="AA460" i="6"/>
  <c r="AA460" i="8" s="1"/>
  <c r="G460" i="8"/>
  <c r="Q460" i="6"/>
  <c r="Q460" i="8" s="1"/>
  <c r="H460" i="8"/>
  <c r="Q59" i="8"/>
  <c r="AH21" i="2"/>
  <c r="AJ57" i="2"/>
  <c r="AK19" i="2"/>
  <c r="AI57" i="2"/>
  <c r="AD61" i="5"/>
  <c r="Q406" i="6"/>
  <c r="Q406" i="8" s="1"/>
  <c r="O406" i="6"/>
  <c r="O406" i="8" s="1"/>
  <c r="AC61" i="5"/>
  <c r="AC66" i="5"/>
  <c r="O411" i="6"/>
  <c r="O411" i="8" s="1"/>
  <c r="Q411" i="6"/>
  <c r="Q411" i="8" s="1"/>
  <c r="AD66" i="5"/>
  <c r="H536" i="6"/>
  <c r="Q261" i="6"/>
  <c r="Q261" i="8" s="1"/>
  <c r="Z71" i="5"/>
  <c r="Q340" i="6"/>
  <c r="Q340" i="8" s="1"/>
  <c r="O344" i="6"/>
  <c r="O344" i="8" s="1"/>
  <c r="Y75" i="5"/>
  <c r="Q343" i="6"/>
  <c r="Q343" i="8" s="1"/>
  <c r="Z74" i="5"/>
  <c r="O328" i="6"/>
  <c r="O328" i="8" s="1"/>
  <c r="Y59" i="5"/>
  <c r="Q339" i="6"/>
  <c r="Q339" i="8" s="1"/>
  <c r="Z70" i="5"/>
  <c r="Z75" i="5"/>
  <c r="Q344" i="6"/>
  <c r="Q344" i="8" s="1"/>
  <c r="O331" i="6"/>
  <c r="O331" i="8" s="1"/>
  <c r="Y62" i="5"/>
  <c r="O343" i="6"/>
  <c r="O343" i="8" s="1"/>
  <c r="Y74" i="5"/>
  <c r="Z59" i="5"/>
  <c r="Q328" i="6"/>
  <c r="Q328" i="8" s="1"/>
  <c r="Z62" i="5"/>
  <c r="Q331" i="6"/>
  <c r="Q331" i="8" s="1"/>
  <c r="O325" i="6"/>
  <c r="O325" i="8" s="1"/>
  <c r="Y56" i="5"/>
  <c r="Z56" i="5"/>
  <c r="Q325" i="6"/>
  <c r="Q325" i="8" s="1"/>
  <c r="O340" i="6"/>
  <c r="O340" i="8" s="1"/>
  <c r="Y71" i="5"/>
  <c r="Y70" i="5"/>
  <c r="O339" i="6"/>
  <c r="O339" i="8" s="1"/>
  <c r="AB460" i="6"/>
  <c r="AB460" i="8" s="1"/>
  <c r="Z63" i="5"/>
  <c r="Q334" i="6"/>
  <c r="Q334" i="8" s="1"/>
  <c r="G536" i="6"/>
  <c r="O253" i="6"/>
  <c r="O253" i="8" s="1"/>
  <c r="O250" i="6"/>
  <c r="O250" i="8" s="1"/>
  <c r="Z57" i="5"/>
  <c r="Y63" i="5"/>
  <c r="O334" i="6"/>
  <c r="O334" i="8" s="1"/>
  <c r="O261" i="6"/>
  <c r="O261" i="8" s="1"/>
  <c r="Q245" i="6"/>
  <c r="Q245" i="8" s="1"/>
  <c r="O256" i="6"/>
  <c r="O256" i="8" s="1"/>
  <c r="Y60" i="5"/>
  <c r="Q253" i="6"/>
  <c r="Q253" i="8" s="1"/>
  <c r="AB86" i="2"/>
  <c r="Z60" i="5"/>
  <c r="Y57" i="5"/>
  <c r="Q250" i="6"/>
  <c r="Q250" i="8" s="1"/>
  <c r="O245" i="6"/>
  <c r="O245" i="8" s="1"/>
  <c r="Q256" i="6"/>
  <c r="Q256" i="8" s="1"/>
  <c r="P47" i="5"/>
  <c r="P49" i="5"/>
  <c r="P48" i="5"/>
  <c r="AQ53" i="5"/>
  <c r="AO53" i="5"/>
  <c r="Z68" i="5"/>
  <c r="P46" i="5"/>
  <c r="Q43" i="5"/>
  <c r="AC65" i="5"/>
  <c r="AD65" i="5"/>
  <c r="Q135" i="8"/>
  <c r="Y68" i="5"/>
  <c r="AB23" i="6"/>
  <c r="AB23" i="8" s="1"/>
  <c r="AA22" i="6"/>
  <c r="AA22" i="8" s="1"/>
  <c r="H42" i="6"/>
  <c r="U5" i="2"/>
  <c r="V3" i="2"/>
  <c r="W3" i="2" s="1"/>
  <c r="H63" i="6" l="1"/>
  <c r="H59" i="6"/>
  <c r="AA17" i="6"/>
  <c r="AA17" i="8" s="1"/>
  <c r="AB20" i="6"/>
  <c r="AB20" i="8" s="1"/>
  <c r="AO57" i="2"/>
  <c r="AN57" i="2"/>
  <c r="Q17" i="8"/>
  <c r="Q42" i="6"/>
  <c r="AN63" i="2"/>
  <c r="AP63" i="2" s="1"/>
  <c r="AS18" i="2"/>
  <c r="AS79" i="2" s="1"/>
  <c r="AM21" i="2"/>
  <c r="AP19" i="2"/>
  <c r="Q444" i="8"/>
  <c r="Q447" i="6"/>
  <c r="Q447" i="8" s="1"/>
  <c r="Q520" i="6"/>
  <c r="Q144" i="8"/>
  <c r="P135" i="8"/>
  <c r="AA536" i="6"/>
  <c r="AA536" i="8" s="1"/>
  <c r="G536" i="8"/>
  <c r="Q71" i="6"/>
  <c r="Q71" i="8" s="1"/>
  <c r="Q70" i="8"/>
  <c r="Q141" i="8"/>
  <c r="Q536" i="6"/>
  <c r="Q536" i="8" s="1"/>
  <c r="H536" i="8"/>
  <c r="H63" i="8"/>
  <c r="H42" i="8"/>
  <c r="AK79" i="2"/>
  <c r="O482" i="6"/>
  <c r="O482" i="8" s="1"/>
  <c r="AG61" i="5"/>
  <c r="Q482" i="6"/>
  <c r="Q482" i="8" s="1"/>
  <c r="AH61" i="5"/>
  <c r="AH66" i="5"/>
  <c r="Q487" i="6"/>
  <c r="Q487" i="8" s="1"/>
  <c r="O483" i="6"/>
  <c r="O483" i="8" s="1"/>
  <c r="AH62" i="5"/>
  <c r="O487" i="6"/>
  <c r="O487" i="8" s="1"/>
  <c r="AG66" i="5"/>
  <c r="H612" i="6"/>
  <c r="O337" i="6"/>
  <c r="O337" i="8" s="1"/>
  <c r="Q337" i="6"/>
  <c r="Q337" i="8" s="1"/>
  <c r="AD59" i="5"/>
  <c r="Q404" i="6"/>
  <c r="Q404" i="8" s="1"/>
  <c r="O416" i="6"/>
  <c r="O416" i="8" s="1"/>
  <c r="AC71" i="5"/>
  <c r="AD75" i="5"/>
  <c r="Q420" i="6"/>
  <c r="Q420" i="8" s="1"/>
  <c r="AC75" i="5"/>
  <c r="O420" i="6"/>
  <c r="O420" i="8" s="1"/>
  <c r="O407" i="6"/>
  <c r="O407" i="8" s="1"/>
  <c r="AC62" i="5"/>
  <c r="Q419" i="6"/>
  <c r="Q419" i="8" s="1"/>
  <c r="AD74" i="5"/>
  <c r="AD71" i="5"/>
  <c r="Q416" i="6"/>
  <c r="Q416" i="8" s="1"/>
  <c r="O404" i="6"/>
  <c r="O404" i="8" s="1"/>
  <c r="AC59" i="5"/>
  <c r="Q415" i="6"/>
  <c r="Q415" i="8" s="1"/>
  <c r="AD70" i="5"/>
  <c r="O401" i="6"/>
  <c r="O401" i="8" s="1"/>
  <c r="AC56" i="5"/>
  <c r="AD56" i="5"/>
  <c r="Q401" i="6"/>
  <c r="Q401" i="8" s="1"/>
  <c r="AD62" i="5"/>
  <c r="Q407" i="6"/>
  <c r="Q407" i="8" s="1"/>
  <c r="AC74" i="5"/>
  <c r="O419" i="6"/>
  <c r="O419" i="8" s="1"/>
  <c r="O415" i="6"/>
  <c r="O415" i="8" s="1"/>
  <c r="AC70" i="5"/>
  <c r="AF86" i="2"/>
  <c r="AB88" i="2"/>
  <c r="Q321" i="6"/>
  <c r="Q321" i="8" s="1"/>
  <c r="O329" i="6"/>
  <c r="O329" i="8" s="1"/>
  <c r="O332" i="6"/>
  <c r="O332" i="8" s="1"/>
  <c r="O321" i="6"/>
  <c r="O321" i="8" s="1"/>
  <c r="AC57" i="5"/>
  <c r="AC63" i="5"/>
  <c r="O410" i="6"/>
  <c r="O410" i="8" s="1"/>
  <c r="G612" i="6"/>
  <c r="Q326" i="6"/>
  <c r="Q326" i="8" s="1"/>
  <c r="Q332" i="6"/>
  <c r="Q332" i="8" s="1"/>
  <c r="AD60" i="5"/>
  <c r="AD63" i="5"/>
  <c r="Q410" i="6"/>
  <c r="Q410" i="8" s="1"/>
  <c r="AC60" i="5"/>
  <c r="AD57" i="5"/>
  <c r="AG86" i="2"/>
  <c r="O326" i="6"/>
  <c r="O326" i="8" s="1"/>
  <c r="Q329" i="6"/>
  <c r="Q329" i="8" s="1"/>
  <c r="AB536" i="6"/>
  <c r="AB536" i="8" s="1"/>
  <c r="W88" i="2"/>
  <c r="Q47" i="5"/>
  <c r="Q48" i="5"/>
  <c r="Q49" i="5"/>
  <c r="AG65" i="5"/>
  <c r="AS53" i="5"/>
  <c r="AU53" i="5"/>
  <c r="AH65" i="5"/>
  <c r="AD68" i="5"/>
  <c r="AC68" i="5"/>
  <c r="Q46" i="5"/>
  <c r="R43" i="5"/>
  <c r="AA42" i="6"/>
  <c r="AB22" i="6"/>
  <c r="AB22" i="8" s="1"/>
  <c r="AB17" i="6"/>
  <c r="AB17" i="8" s="1"/>
  <c r="AP79" i="2"/>
  <c r="X5" i="2"/>
  <c r="Y3" i="2"/>
  <c r="Z3" i="2" s="1"/>
  <c r="AH38" i="6" l="1"/>
  <c r="AB59" i="6"/>
  <c r="AR21" i="2"/>
  <c r="Q63" i="6"/>
  <c r="Q63" i="8" s="1"/>
  <c r="Q42" i="8"/>
  <c r="AX18" i="2"/>
  <c r="AX79" i="2" s="1"/>
  <c r="AU19" i="2"/>
  <c r="AS63" i="2"/>
  <c r="AU63" i="2" s="1"/>
  <c r="AS57" i="2"/>
  <c r="AT57" i="2"/>
  <c r="Q520" i="8"/>
  <c r="Q523" i="6"/>
  <c r="Q523" i="8" s="1"/>
  <c r="AB63" i="6"/>
  <c r="AB63" i="8" s="1"/>
  <c r="Q596" i="6"/>
  <c r="H59" i="8"/>
  <c r="P147" i="8"/>
  <c r="AA42" i="8"/>
  <c r="AA612" i="6"/>
  <c r="AA612" i="8" s="1"/>
  <c r="G612" i="8"/>
  <c r="Q612" i="6"/>
  <c r="Q612" i="8" s="1"/>
  <c r="H612" i="8"/>
  <c r="Q147" i="8"/>
  <c r="Q146" i="8"/>
  <c r="AW53" i="5"/>
  <c r="AH60" i="5"/>
  <c r="Q483" i="6"/>
  <c r="AG60" i="5"/>
  <c r="AG62" i="5"/>
  <c r="Q558" i="6"/>
  <c r="Q558" i="8" s="1"/>
  <c r="AL61" i="5"/>
  <c r="AK61" i="5"/>
  <c r="O558" i="6"/>
  <c r="O558" i="8" s="1"/>
  <c r="O563" i="6"/>
  <c r="O563" i="8" s="1"/>
  <c r="AK66" i="5"/>
  <c r="AL66" i="5"/>
  <c r="Q563" i="6"/>
  <c r="Q563" i="8" s="1"/>
  <c r="H688" i="6"/>
  <c r="O413" i="6"/>
  <c r="O413" i="8" s="1"/>
  <c r="Q413" i="6"/>
  <c r="Q413" i="8" s="1"/>
  <c r="O477" i="6"/>
  <c r="O477" i="8" s="1"/>
  <c r="AG56" i="5"/>
  <c r="Q495" i="6"/>
  <c r="Q495" i="8" s="1"/>
  <c r="AH74" i="5"/>
  <c r="Q477" i="6"/>
  <c r="Q477" i="8" s="1"/>
  <c r="AH56" i="5"/>
  <c r="AG75" i="5"/>
  <c r="O496" i="6"/>
  <c r="O496" i="8" s="1"/>
  <c r="Q496" i="6"/>
  <c r="Q496" i="8" s="1"/>
  <c r="AH75" i="5"/>
  <c r="AG71" i="5"/>
  <c r="O492" i="6"/>
  <c r="O492" i="8" s="1"/>
  <c r="O495" i="6"/>
  <c r="O495" i="8" s="1"/>
  <c r="AG74" i="5"/>
  <c r="Q492" i="6"/>
  <c r="Q492" i="8" s="1"/>
  <c r="AH71" i="5"/>
  <c r="AH70" i="5"/>
  <c r="Q491" i="6"/>
  <c r="Q491" i="8" s="1"/>
  <c r="AH59" i="5"/>
  <c r="Q480" i="6"/>
  <c r="Q480" i="8" s="1"/>
  <c r="O480" i="6"/>
  <c r="O480" i="8" s="1"/>
  <c r="AG59" i="5"/>
  <c r="O491" i="6"/>
  <c r="O491" i="8" s="1"/>
  <c r="AG70" i="5"/>
  <c r="AB612" i="6"/>
  <c r="AB612" i="8" s="1"/>
  <c r="O405" i="6"/>
  <c r="O405" i="8" s="1"/>
  <c r="Q397" i="6"/>
  <c r="Q397" i="8" s="1"/>
  <c r="AH57" i="5"/>
  <c r="AG57" i="5"/>
  <c r="AH63" i="5"/>
  <c r="O397" i="6"/>
  <c r="O397" i="8" s="1"/>
  <c r="Q408" i="6"/>
  <c r="Q408" i="8" s="1"/>
  <c r="Q405" i="6"/>
  <c r="Q405" i="8" s="1"/>
  <c r="O408" i="6"/>
  <c r="O408" i="8" s="1"/>
  <c r="O481" i="6"/>
  <c r="O481" i="8" s="1"/>
  <c r="G688" i="6"/>
  <c r="Q402" i="6"/>
  <c r="Q402" i="8" s="1"/>
  <c r="O402" i="6"/>
  <c r="O402" i="8" s="1"/>
  <c r="AG63" i="5"/>
  <c r="O486" i="6"/>
  <c r="O486" i="8" s="1"/>
  <c r="R47" i="5"/>
  <c r="R48" i="5"/>
  <c r="R49" i="5"/>
  <c r="AG68" i="5"/>
  <c r="AH68" i="5"/>
  <c r="AB42" i="6"/>
  <c r="AB42" i="8" s="1"/>
  <c r="AL65" i="5"/>
  <c r="R46" i="5"/>
  <c r="AK65" i="5"/>
  <c r="AG88" i="2"/>
  <c r="AU79" i="2"/>
  <c r="AA5" i="2"/>
  <c r="AB3" i="2"/>
  <c r="AC3" i="2" s="1"/>
  <c r="AX63" i="2" l="1"/>
  <c r="AZ63" i="2" s="1"/>
  <c r="BC18" i="2"/>
  <c r="BD57" i="2" s="1"/>
  <c r="AX57" i="2"/>
  <c r="AY57" i="2"/>
  <c r="AW21" i="2"/>
  <c r="AZ79" i="2"/>
  <c r="AZ19" i="2"/>
  <c r="Q596" i="8"/>
  <c r="Q599" i="6"/>
  <c r="Q599" i="8" s="1"/>
  <c r="P146" i="8"/>
  <c r="Q481" i="6"/>
  <c r="Q481" i="8" s="1"/>
  <c r="Q483" i="8"/>
  <c r="Q688" i="6"/>
  <c r="Q688" i="8" s="1"/>
  <c r="H688" i="8"/>
  <c r="AA688" i="6"/>
  <c r="AA688" i="8" s="1"/>
  <c r="G688" i="8"/>
  <c r="AO61" i="5"/>
  <c r="O634" i="6"/>
  <c r="Q634" i="6"/>
  <c r="AP61" i="5"/>
  <c r="Q639" i="6"/>
  <c r="AP66" i="5"/>
  <c r="AO66" i="5"/>
  <c r="O639" i="6"/>
  <c r="H764" i="6"/>
  <c r="O489" i="6"/>
  <c r="O489" i="8" s="1"/>
  <c r="Q489" i="6"/>
  <c r="Q489" i="8" s="1"/>
  <c r="O553" i="6"/>
  <c r="O553" i="8" s="1"/>
  <c r="AK56" i="5"/>
  <c r="Q572" i="6"/>
  <c r="Q572" i="8" s="1"/>
  <c r="AL75" i="5"/>
  <c r="AK70" i="5"/>
  <c r="O567" i="6"/>
  <c r="O567" i="8" s="1"/>
  <c r="Q556" i="6"/>
  <c r="Q556" i="8" s="1"/>
  <c r="AL59" i="5"/>
  <c r="O568" i="6"/>
  <c r="O568" i="8" s="1"/>
  <c r="AK71" i="5"/>
  <c r="AL70" i="5"/>
  <c r="Q567" i="6"/>
  <c r="Q567" i="8" s="1"/>
  <c r="AK75" i="5"/>
  <c r="O572" i="6"/>
  <c r="O572" i="8" s="1"/>
  <c r="Q568" i="6"/>
  <c r="Q568" i="8" s="1"/>
  <c r="AL71" i="5"/>
  <c r="O571" i="6"/>
  <c r="O571" i="8" s="1"/>
  <c r="AK74" i="5"/>
  <c r="AL62" i="5"/>
  <c r="Q559" i="6"/>
  <c r="Q559" i="8" s="1"/>
  <c r="AK62" i="5"/>
  <c r="O559" i="6"/>
  <c r="O559" i="8" s="1"/>
  <c r="O556" i="6"/>
  <c r="O556" i="8" s="1"/>
  <c r="AK59" i="5"/>
  <c r="AL74" i="5"/>
  <c r="Q571" i="6"/>
  <c r="Q571" i="8" s="1"/>
  <c r="Q553" i="6"/>
  <c r="Q553" i="8" s="1"/>
  <c r="AL56" i="5"/>
  <c r="Q473" i="6"/>
  <c r="Q473" i="8" s="1"/>
  <c r="Q478" i="6"/>
  <c r="Q478" i="8" s="1"/>
  <c r="AL60" i="5"/>
  <c r="G764" i="6"/>
  <c r="AK63" i="5"/>
  <c r="O562" i="6"/>
  <c r="O562" i="8" s="1"/>
  <c r="AL63" i="5"/>
  <c r="Q562" i="6"/>
  <c r="Q562" i="8" s="1"/>
  <c r="AB688" i="6"/>
  <c r="AB688" i="8" s="1"/>
  <c r="O478" i="6"/>
  <c r="O478" i="8" s="1"/>
  <c r="AL57" i="5"/>
  <c r="O473" i="6"/>
  <c r="O473" i="8" s="1"/>
  <c r="AK60" i="5"/>
  <c r="AK57" i="5"/>
  <c r="O484" i="6"/>
  <c r="O484" i="8" s="1"/>
  <c r="Q484" i="6"/>
  <c r="Q484" i="8" s="1"/>
  <c r="AB59" i="8"/>
  <c r="AO65" i="5"/>
  <c r="AK68" i="5"/>
  <c r="AP65" i="5"/>
  <c r="AL68" i="5"/>
  <c r="BC57" i="2"/>
  <c r="AD5" i="2"/>
  <c r="AE3" i="2"/>
  <c r="AF3" i="2" s="1"/>
  <c r="BH18" i="2" l="1"/>
  <c r="BH79" i="2" s="1"/>
  <c r="BJ79" i="2" s="1"/>
  <c r="BC79" i="2"/>
  <c r="BB21" i="2"/>
  <c r="Q639" i="8"/>
  <c r="AA639" i="6"/>
  <c r="O639" i="8"/>
  <c r="X639" i="6"/>
  <c r="Q634" i="8"/>
  <c r="AA634" i="6"/>
  <c r="O634" i="8"/>
  <c r="X634" i="6"/>
  <c r="BC63" i="2"/>
  <c r="BE63" i="2" s="1"/>
  <c r="BE19" i="2"/>
  <c r="BE79" i="2"/>
  <c r="Q748" i="6"/>
  <c r="Q764" i="6"/>
  <c r="Q764" i="8" s="1"/>
  <c r="H764" i="8"/>
  <c r="AA764" i="6"/>
  <c r="AA764" i="8" s="1"/>
  <c r="G764" i="8"/>
  <c r="Q715" i="6"/>
  <c r="AT66" i="5"/>
  <c r="O720" i="6"/>
  <c r="O720" i="8" s="1"/>
  <c r="O715" i="6"/>
  <c r="O715" i="8" s="1"/>
  <c r="AS66" i="5"/>
  <c r="AT65" i="5"/>
  <c r="O565" i="6"/>
  <c r="O565" i="8" s="1"/>
  <c r="Q565" i="6"/>
  <c r="Q565" i="8" s="1"/>
  <c r="Q648" i="6"/>
  <c r="AP75" i="5"/>
  <c r="Q644" i="6"/>
  <c r="AP71" i="5"/>
  <c r="Q635" i="6"/>
  <c r="AP62" i="5"/>
  <c r="O648" i="6"/>
  <c r="AO75" i="5"/>
  <c r="Q647" i="6"/>
  <c r="AP74" i="5"/>
  <c r="Q632" i="6"/>
  <c r="AP59" i="5"/>
  <c r="O644" i="6"/>
  <c r="AO71" i="5"/>
  <c r="O632" i="6"/>
  <c r="AO59" i="5"/>
  <c r="Q629" i="6"/>
  <c r="AP56" i="5"/>
  <c r="O643" i="6"/>
  <c r="AO70" i="5"/>
  <c r="AO56" i="5"/>
  <c r="O629" i="6"/>
  <c r="Q643" i="6"/>
  <c r="AP70" i="5"/>
  <c r="AO74" i="5"/>
  <c r="O647" i="6"/>
  <c r="O635" i="6"/>
  <c r="AO62" i="5"/>
  <c r="AV86" i="2"/>
  <c r="AT63" i="5"/>
  <c r="Q549" i="6"/>
  <c r="Q549" i="8" s="1"/>
  <c r="Q557" i="6"/>
  <c r="Q557" i="8" s="1"/>
  <c r="Q560" i="6"/>
  <c r="Q560" i="8" s="1"/>
  <c r="AP63" i="5"/>
  <c r="Q638" i="6"/>
  <c r="AO60" i="5"/>
  <c r="O554" i="6"/>
  <c r="O554" i="8" s="1"/>
  <c r="Q554" i="6"/>
  <c r="Q554" i="8" s="1"/>
  <c r="AP57" i="5"/>
  <c r="AO57" i="5"/>
  <c r="O557" i="6"/>
  <c r="O557" i="8" s="1"/>
  <c r="O549" i="6"/>
  <c r="O549" i="8" s="1"/>
  <c r="AU86" i="2"/>
  <c r="AP60" i="5"/>
  <c r="AO63" i="5"/>
  <c r="O638" i="6"/>
  <c r="O560" i="6"/>
  <c r="O560" i="8" s="1"/>
  <c r="AB764" i="6"/>
  <c r="AB764" i="8" s="1"/>
  <c r="AS65" i="5"/>
  <c r="AO68" i="5"/>
  <c r="AP68" i="5"/>
  <c r="AG5" i="2"/>
  <c r="BH57" i="2" l="1"/>
  <c r="BG21" i="2"/>
  <c r="BH63" i="2"/>
  <c r="BJ63" i="2" s="1"/>
  <c r="BI57" i="2"/>
  <c r="BJ19" i="2"/>
  <c r="Q715" i="8"/>
  <c r="Q638" i="8"/>
  <c r="AA638" i="6"/>
  <c r="O638" i="8"/>
  <c r="X638" i="6"/>
  <c r="O635" i="8"/>
  <c r="X635" i="6"/>
  <c r="Q643" i="8"/>
  <c r="AA643" i="6"/>
  <c r="O643" i="8"/>
  <c r="X643" i="6"/>
  <c r="O632" i="8"/>
  <c r="X632" i="6"/>
  <c r="Q632" i="8"/>
  <c r="AA632" i="6"/>
  <c r="O648" i="8"/>
  <c r="X648" i="6"/>
  <c r="Q644" i="8"/>
  <c r="AA644" i="6"/>
  <c r="O647" i="8"/>
  <c r="X647" i="6"/>
  <c r="O629" i="8"/>
  <c r="X629" i="6"/>
  <c r="Q629" i="8"/>
  <c r="AA629" i="6"/>
  <c r="O644" i="8"/>
  <c r="X644" i="6"/>
  <c r="Q647" i="8"/>
  <c r="AA647" i="6"/>
  <c r="Q635" i="8"/>
  <c r="AA635" i="6"/>
  <c r="Q648" i="8"/>
  <c r="AA648" i="6"/>
  <c r="Q748" i="8"/>
  <c r="Q751" i="6"/>
  <c r="Q751" i="8" s="1"/>
  <c r="Q824" i="6"/>
  <c r="AS71" i="5"/>
  <c r="Q710" i="6"/>
  <c r="AT61" i="5"/>
  <c r="O791" i="6"/>
  <c r="O791" i="8" s="1"/>
  <c r="AW66" i="5"/>
  <c r="O710" i="6"/>
  <c r="O710" i="8" s="1"/>
  <c r="AS61" i="5"/>
  <c r="Q791" i="6"/>
  <c r="Q791" i="8" s="1"/>
  <c r="AX66" i="5"/>
  <c r="H559" i="6"/>
  <c r="AJ62" i="5"/>
  <c r="AI59" i="5"/>
  <c r="AI66" i="5"/>
  <c r="F563" i="6"/>
  <c r="X563" i="6" s="1"/>
  <c r="AB62" i="5"/>
  <c r="H407" i="6"/>
  <c r="AA407" i="6" s="1"/>
  <c r="AA59" i="5"/>
  <c r="F404" i="6"/>
  <c r="AA66" i="5"/>
  <c r="F411" i="6"/>
  <c r="X411" i="6" s="1"/>
  <c r="X62" i="5"/>
  <c r="H331" i="6"/>
  <c r="AA331" i="6" s="1"/>
  <c r="W66" i="5"/>
  <c r="F335" i="6"/>
  <c r="X335" i="6" s="1"/>
  <c r="P62" i="5"/>
  <c r="H179" i="6"/>
  <c r="AA179" i="6" s="1"/>
  <c r="O59" i="5"/>
  <c r="F176" i="6"/>
  <c r="O66" i="5"/>
  <c r="F183" i="6"/>
  <c r="X183" i="6" s="1"/>
  <c r="K59" i="5"/>
  <c r="F100" i="8"/>
  <c r="K66" i="5"/>
  <c r="F107" i="6"/>
  <c r="X107" i="6" s="1"/>
  <c r="Q641" i="6"/>
  <c r="Q641" i="8" s="1"/>
  <c r="O641" i="6"/>
  <c r="O641" i="8" s="1"/>
  <c r="AT59" i="5"/>
  <c r="Q708" i="6"/>
  <c r="AT71" i="5"/>
  <c r="Q720" i="6"/>
  <c r="Q723" i="6"/>
  <c r="AT74" i="5"/>
  <c r="O705" i="6"/>
  <c r="O705" i="8" s="1"/>
  <c r="AS56" i="5"/>
  <c r="AS74" i="5"/>
  <c r="O723" i="6"/>
  <c r="O723" i="8" s="1"/>
  <c r="Q719" i="6"/>
  <c r="AT70" i="5"/>
  <c r="AS70" i="5"/>
  <c r="O719" i="6"/>
  <c r="O719" i="8" s="1"/>
  <c r="O711" i="6"/>
  <c r="O711" i="8" s="1"/>
  <c r="AS62" i="5"/>
  <c r="O708" i="6"/>
  <c r="O708" i="8" s="1"/>
  <c r="AS59" i="5"/>
  <c r="AT56" i="5"/>
  <c r="Q705" i="6"/>
  <c r="O724" i="6"/>
  <c r="O724" i="8" s="1"/>
  <c r="AS75" i="5"/>
  <c r="Q724" i="6"/>
  <c r="AT75" i="5"/>
  <c r="AT62" i="5"/>
  <c r="Q711" i="6"/>
  <c r="BA86" i="2"/>
  <c r="O630" i="6"/>
  <c r="O630" i="8" s="1"/>
  <c r="O625" i="6"/>
  <c r="O625" i="8" s="1"/>
  <c r="AS68" i="5"/>
  <c r="AS57" i="5"/>
  <c r="AT60" i="5"/>
  <c r="Q630" i="6"/>
  <c r="Q630" i="8" s="1"/>
  <c r="Q636" i="6"/>
  <c r="Q636" i="8" s="1"/>
  <c r="Q712" i="6"/>
  <c r="Q712" i="8" s="1"/>
  <c r="Q625" i="6"/>
  <c r="Q625" i="8" s="1"/>
  <c r="O633" i="6"/>
  <c r="O633" i="8" s="1"/>
  <c r="AZ86" i="2"/>
  <c r="AS60" i="5"/>
  <c r="Q633" i="6"/>
  <c r="Q633" i="8" s="1"/>
  <c r="AS63" i="5"/>
  <c r="O714" i="6"/>
  <c r="AT57" i="5"/>
  <c r="O636" i="6"/>
  <c r="O636" i="8" s="1"/>
  <c r="AT68" i="5"/>
  <c r="AV88" i="2"/>
  <c r="AW65" i="5"/>
  <c r="AX65" i="5"/>
  <c r="BL97" i="2" l="1"/>
  <c r="Q711" i="8"/>
  <c r="Q708" i="8"/>
  <c r="Q710" i="8"/>
  <c r="Q723" i="8"/>
  <c r="Q705" i="8"/>
  <c r="Q720" i="8"/>
  <c r="Q724" i="8"/>
  <c r="Q719" i="8"/>
  <c r="H559" i="8"/>
  <c r="AA559" i="6"/>
  <c r="F404" i="8"/>
  <c r="X404" i="6"/>
  <c r="F176" i="8"/>
  <c r="X176" i="6"/>
  <c r="O714" i="8"/>
  <c r="Q824" i="8"/>
  <c r="Q827" i="6"/>
  <c r="Q827" i="8" s="1"/>
  <c r="F114" i="8"/>
  <c r="F113" i="6"/>
  <c r="H114" i="8"/>
  <c r="L62" i="5"/>
  <c r="K64" i="5"/>
  <c r="K76" i="5"/>
  <c r="K77" i="5" s="1"/>
  <c r="L76" i="5"/>
  <c r="L77" i="5" s="1"/>
  <c r="L64" i="5"/>
  <c r="H113" i="6"/>
  <c r="H103" i="6"/>
  <c r="AA103" i="6" s="1"/>
  <c r="F107" i="8"/>
  <c r="F183" i="8"/>
  <c r="H179" i="8"/>
  <c r="F335" i="8"/>
  <c r="F411" i="8"/>
  <c r="H407" i="8"/>
  <c r="F563" i="8"/>
  <c r="AA635" i="8"/>
  <c r="H331" i="8"/>
  <c r="W59" i="5"/>
  <c r="F328" i="6"/>
  <c r="W76" i="5"/>
  <c r="W64" i="5"/>
  <c r="O341" i="8"/>
  <c r="F341" i="6"/>
  <c r="H341" i="6"/>
  <c r="Q341" i="8"/>
  <c r="X76" i="5"/>
  <c r="X64" i="5"/>
  <c r="F556" i="6"/>
  <c r="X556" i="6" s="1"/>
  <c r="Q786" i="6"/>
  <c r="Q786" i="8" s="1"/>
  <c r="AX61" i="5"/>
  <c r="AW61" i="5"/>
  <c r="O786" i="6"/>
  <c r="O786" i="8" s="1"/>
  <c r="Q717" i="6"/>
  <c r="Q717" i="8" s="1"/>
  <c r="AI67" i="5"/>
  <c r="AJ67" i="5"/>
  <c r="AI69" i="5"/>
  <c r="F585" i="6"/>
  <c r="X585" i="6" s="1"/>
  <c r="F550" i="6"/>
  <c r="X550" i="6" s="1"/>
  <c r="H580" i="6"/>
  <c r="AA580" i="6" s="1"/>
  <c r="AI72" i="5"/>
  <c r="AJ55" i="5"/>
  <c r="H552" i="6"/>
  <c r="AA552" i="6" s="1"/>
  <c r="H551" i="6"/>
  <c r="AA551" i="6" s="1"/>
  <c r="AJ61" i="5"/>
  <c r="H558" i="6"/>
  <c r="AA558" i="6" s="1"/>
  <c r="AJ59" i="5"/>
  <c r="H556" i="6"/>
  <c r="AI56" i="5"/>
  <c r="F553" i="6"/>
  <c r="AJ66" i="5"/>
  <c r="H563" i="6"/>
  <c r="AA563" i="6" s="1"/>
  <c r="H581" i="6"/>
  <c r="AA581" i="6" s="1"/>
  <c r="AJ75" i="5"/>
  <c r="H572" i="6"/>
  <c r="AA572" i="6" s="1"/>
  <c r="AI71" i="5"/>
  <c r="F568" i="6"/>
  <c r="X568" i="6" s="1"/>
  <c r="H561" i="6"/>
  <c r="AA561" i="6" s="1"/>
  <c r="AJ74" i="5"/>
  <c r="H571" i="6"/>
  <c r="AA571" i="6" s="1"/>
  <c r="AJ72" i="5"/>
  <c r="F551" i="6"/>
  <c r="X551" i="6" s="1"/>
  <c r="H583" i="6"/>
  <c r="AA583" i="6" s="1"/>
  <c r="AI62" i="5"/>
  <c r="F559" i="6"/>
  <c r="X559" i="6" s="1"/>
  <c r="H582" i="6"/>
  <c r="AA582" i="6" s="1"/>
  <c r="H555" i="6"/>
  <c r="AA555" i="6" s="1"/>
  <c r="AJ58" i="5"/>
  <c r="H585" i="6"/>
  <c r="AA585" i="6" s="1"/>
  <c r="H553" i="6"/>
  <c r="AJ56" i="5"/>
  <c r="H584" i="6"/>
  <c r="AA584" i="6" s="1"/>
  <c r="AJ65" i="5"/>
  <c r="H562" i="6"/>
  <c r="AA562" i="6" s="1"/>
  <c r="F579" i="6"/>
  <c r="X579" i="6" s="1"/>
  <c r="F584" i="6"/>
  <c r="X584" i="6" s="1"/>
  <c r="AI70" i="5"/>
  <c r="F567" i="6"/>
  <c r="AJ70" i="5"/>
  <c r="H567" i="6"/>
  <c r="AA567" i="6" s="1"/>
  <c r="AI65" i="5"/>
  <c r="F562" i="6"/>
  <c r="X562" i="6" s="1"/>
  <c r="AJ71" i="5"/>
  <c r="H568" i="6"/>
  <c r="AA568" i="6" s="1"/>
  <c r="F572" i="6"/>
  <c r="X572" i="6" s="1"/>
  <c r="AI75" i="5"/>
  <c r="F578" i="6"/>
  <c r="X578" i="6" s="1"/>
  <c r="AJ69" i="5"/>
  <c r="H566" i="6"/>
  <c r="AI55" i="5"/>
  <c r="F552" i="6"/>
  <c r="X552" i="6" s="1"/>
  <c r="F561" i="6"/>
  <c r="X561" i="6" s="1"/>
  <c r="AI74" i="5"/>
  <c r="F571" i="6"/>
  <c r="X571" i="6" s="1"/>
  <c r="F555" i="6"/>
  <c r="X555" i="6" s="1"/>
  <c r="AI58" i="5"/>
  <c r="F558" i="6"/>
  <c r="AI61" i="5"/>
  <c r="AA67" i="5"/>
  <c r="AB67" i="5"/>
  <c r="AA69" i="5"/>
  <c r="AB71" i="5"/>
  <c r="H416" i="6"/>
  <c r="AA416" i="6" s="1"/>
  <c r="F350" i="6"/>
  <c r="X350" i="6" s="1"/>
  <c r="F426" i="6"/>
  <c r="X426" i="6" s="1"/>
  <c r="H404" i="6"/>
  <c r="AB59" i="5"/>
  <c r="AA56" i="5"/>
  <c r="F401" i="6"/>
  <c r="X401" i="6" s="1"/>
  <c r="AB66" i="5"/>
  <c r="H411" i="6"/>
  <c r="AA411" i="6" s="1"/>
  <c r="H353" i="6"/>
  <c r="AA353" i="6" s="1"/>
  <c r="H429" i="6"/>
  <c r="AA429" i="6" s="1"/>
  <c r="AB75" i="5"/>
  <c r="H420" i="6"/>
  <c r="AA420" i="6" s="1"/>
  <c r="AA71" i="5"/>
  <c r="F416" i="6"/>
  <c r="X416" i="6" s="1"/>
  <c r="H409" i="6"/>
  <c r="AA409" i="6" s="1"/>
  <c r="AB74" i="5"/>
  <c r="H419" i="6"/>
  <c r="AA419" i="6" s="1"/>
  <c r="AB72" i="5"/>
  <c r="F323" i="6"/>
  <c r="X323" i="6" s="1"/>
  <c r="F399" i="6"/>
  <c r="X399" i="6" s="1"/>
  <c r="H355" i="6"/>
  <c r="AA355" i="6" s="1"/>
  <c r="H431" i="6"/>
  <c r="AA431" i="6" s="1"/>
  <c r="AA62" i="5"/>
  <c r="F407" i="6"/>
  <c r="X407" i="6" s="1"/>
  <c r="H354" i="6"/>
  <c r="AA354" i="6" s="1"/>
  <c r="H430" i="6"/>
  <c r="AA430" i="6" s="1"/>
  <c r="AB58" i="5"/>
  <c r="H403" i="6"/>
  <c r="AA403" i="6" s="1"/>
  <c r="H357" i="6"/>
  <c r="AA357" i="6" s="1"/>
  <c r="H433" i="6"/>
  <c r="AA433" i="6" s="1"/>
  <c r="AB56" i="5"/>
  <c r="H401" i="6"/>
  <c r="AA401" i="6" s="1"/>
  <c r="H356" i="6"/>
  <c r="AA356" i="6" s="1"/>
  <c r="H432" i="6"/>
  <c r="AA432" i="6" s="1"/>
  <c r="H410" i="6"/>
  <c r="AA410" i="6" s="1"/>
  <c r="AB65" i="5"/>
  <c r="F351" i="6"/>
  <c r="X351" i="6" s="1"/>
  <c r="F427" i="6"/>
  <c r="X427" i="6" s="1"/>
  <c r="F356" i="6"/>
  <c r="X356" i="6" s="1"/>
  <c r="F432" i="6"/>
  <c r="X432" i="6" s="1"/>
  <c r="AA70" i="5"/>
  <c r="F415" i="6"/>
  <c r="H415" i="6"/>
  <c r="AA415" i="6" s="1"/>
  <c r="AB70" i="5"/>
  <c r="AA65" i="5"/>
  <c r="F410" i="6"/>
  <c r="X410" i="6" s="1"/>
  <c r="AA75" i="5"/>
  <c r="F420" i="6"/>
  <c r="X420" i="6" s="1"/>
  <c r="AB69" i="5"/>
  <c r="H414" i="6"/>
  <c r="AA55" i="5"/>
  <c r="F400" i="6"/>
  <c r="X400" i="6" s="1"/>
  <c r="F409" i="6"/>
  <c r="X409" i="6" s="1"/>
  <c r="AA74" i="5"/>
  <c r="F419" i="6"/>
  <c r="X419" i="6" s="1"/>
  <c r="F403" i="6"/>
  <c r="X403" i="6" s="1"/>
  <c r="AA58" i="5"/>
  <c r="AA61" i="5"/>
  <c r="F406" i="6"/>
  <c r="F357" i="6"/>
  <c r="X357" i="6" s="1"/>
  <c r="F433" i="6"/>
  <c r="X433" i="6" s="1"/>
  <c r="F322" i="6"/>
  <c r="X322" i="6" s="1"/>
  <c r="F398" i="6"/>
  <c r="X398" i="6" s="1"/>
  <c r="H352" i="6"/>
  <c r="AA352" i="6" s="1"/>
  <c r="H428" i="6"/>
  <c r="AA428" i="6" s="1"/>
  <c r="AA72" i="5"/>
  <c r="AB55" i="5"/>
  <c r="H400" i="6"/>
  <c r="AA400" i="6" s="1"/>
  <c r="H323" i="6"/>
  <c r="AA323" i="6" s="1"/>
  <c r="H399" i="6"/>
  <c r="AA399" i="6" s="1"/>
  <c r="H406" i="6"/>
  <c r="AB61" i="5"/>
  <c r="W56" i="5"/>
  <c r="F325" i="6"/>
  <c r="X75" i="5"/>
  <c r="H344" i="6"/>
  <c r="AA344" i="6" s="1"/>
  <c r="H333" i="6"/>
  <c r="AA333" i="6" s="1"/>
  <c r="X72" i="5"/>
  <c r="H340" i="6"/>
  <c r="AA340" i="6" s="1"/>
  <c r="X71" i="5"/>
  <c r="F344" i="6"/>
  <c r="X344" i="6" s="1"/>
  <c r="W75" i="5"/>
  <c r="X69" i="5"/>
  <c r="H338" i="6"/>
  <c r="W55" i="5"/>
  <c r="F324" i="6"/>
  <c r="X324" i="6" s="1"/>
  <c r="F333" i="6"/>
  <c r="X333" i="6" s="1"/>
  <c r="W74" i="5"/>
  <c r="F343" i="6"/>
  <c r="X343" i="6" s="1"/>
  <c r="F327" i="6"/>
  <c r="X327" i="6" s="1"/>
  <c r="W58" i="5"/>
  <c r="F330" i="6"/>
  <c r="W61" i="5"/>
  <c r="W67" i="5"/>
  <c r="X67" i="5"/>
  <c r="W72" i="5"/>
  <c r="W69" i="5"/>
  <c r="X55" i="5"/>
  <c r="H324" i="6"/>
  <c r="AA324" i="6" s="1"/>
  <c r="X61" i="5"/>
  <c r="H330" i="6"/>
  <c r="X59" i="5"/>
  <c r="H328" i="6"/>
  <c r="X66" i="5"/>
  <c r="H335" i="6"/>
  <c r="AA335" i="6" s="1"/>
  <c r="W71" i="5"/>
  <c r="F340" i="6"/>
  <c r="X340" i="6" s="1"/>
  <c r="X74" i="5"/>
  <c r="H343" i="6"/>
  <c r="AA343" i="6" s="1"/>
  <c r="W62" i="5"/>
  <c r="F331" i="6"/>
  <c r="X331" i="6" s="1"/>
  <c r="X58" i="5"/>
  <c r="H327" i="6"/>
  <c r="AA327" i="6" s="1"/>
  <c r="X56" i="5"/>
  <c r="H325" i="6"/>
  <c r="AA325" i="6" s="1"/>
  <c r="X65" i="5"/>
  <c r="H334" i="6"/>
  <c r="AA334" i="6" s="1"/>
  <c r="W70" i="5"/>
  <c r="F339" i="6"/>
  <c r="X70" i="5"/>
  <c r="H339" i="6"/>
  <c r="AA339" i="6" s="1"/>
  <c r="F334" i="6"/>
  <c r="X334" i="6" s="1"/>
  <c r="W65" i="5"/>
  <c r="F171" i="6"/>
  <c r="X171" i="6" s="1"/>
  <c r="H202" i="6"/>
  <c r="AA202" i="6" s="1"/>
  <c r="H205" i="6"/>
  <c r="AA205" i="6" s="1"/>
  <c r="H204" i="6"/>
  <c r="AA204" i="6" s="1"/>
  <c r="F199" i="6"/>
  <c r="X199" i="6" s="1"/>
  <c r="F198" i="6"/>
  <c r="X198" i="6" s="1"/>
  <c r="H201" i="6"/>
  <c r="AA201" i="6" s="1"/>
  <c r="H203" i="6"/>
  <c r="AA203" i="6" s="1"/>
  <c r="F204" i="6"/>
  <c r="X204" i="6" s="1"/>
  <c r="F205" i="6"/>
  <c r="X205" i="6" s="1"/>
  <c r="F170" i="6"/>
  <c r="X170" i="6" s="1"/>
  <c r="H200" i="6"/>
  <c r="AA200" i="6" s="1"/>
  <c r="H171" i="6"/>
  <c r="AA171" i="6" s="1"/>
  <c r="H188" i="6"/>
  <c r="AA188" i="6" s="1"/>
  <c r="P71" i="5"/>
  <c r="F172" i="6"/>
  <c r="X172" i="6" s="1"/>
  <c r="O55" i="5"/>
  <c r="O58" i="5"/>
  <c r="F175" i="6"/>
  <c r="X175" i="6" s="1"/>
  <c r="O61" i="5"/>
  <c r="F178" i="6"/>
  <c r="L67" i="5"/>
  <c r="P67" i="5"/>
  <c r="P59" i="5"/>
  <c r="H176" i="6"/>
  <c r="F173" i="6"/>
  <c r="X173" i="6" s="1"/>
  <c r="O56" i="5"/>
  <c r="P66" i="5"/>
  <c r="H183" i="6"/>
  <c r="AA183" i="6" s="1"/>
  <c r="P75" i="5"/>
  <c r="H192" i="6"/>
  <c r="AA192" i="6" s="1"/>
  <c r="O71" i="5"/>
  <c r="F188" i="6"/>
  <c r="X188" i="6" s="1"/>
  <c r="H181" i="6"/>
  <c r="AA181" i="6" s="1"/>
  <c r="P74" i="5"/>
  <c r="H191" i="6"/>
  <c r="AA191" i="6" s="1"/>
  <c r="P72" i="5"/>
  <c r="O62" i="5"/>
  <c r="F179" i="6"/>
  <c r="X179" i="6" s="1"/>
  <c r="F192" i="6"/>
  <c r="X192" i="6" s="1"/>
  <c r="O75" i="5"/>
  <c r="P69" i="5"/>
  <c r="H186" i="6"/>
  <c r="F181" i="6"/>
  <c r="X181" i="6" s="1"/>
  <c r="O74" i="5"/>
  <c r="F191" i="6"/>
  <c r="X191" i="6" s="1"/>
  <c r="K67" i="5"/>
  <c r="O67" i="5"/>
  <c r="O72" i="5"/>
  <c r="K69" i="5"/>
  <c r="O69" i="5"/>
  <c r="P55" i="5"/>
  <c r="H172" i="6"/>
  <c r="AA172" i="6" s="1"/>
  <c r="P61" i="5"/>
  <c r="H178" i="6"/>
  <c r="P58" i="5"/>
  <c r="H175" i="6"/>
  <c r="AA175" i="6" s="1"/>
  <c r="P56" i="5"/>
  <c r="H173" i="6"/>
  <c r="AA173" i="6" s="1"/>
  <c r="P65" i="5"/>
  <c r="H182" i="6"/>
  <c r="AA182" i="6" s="1"/>
  <c r="F187" i="6"/>
  <c r="O70" i="5"/>
  <c r="H187" i="6"/>
  <c r="AA187" i="6" s="1"/>
  <c r="P70" i="5"/>
  <c r="O65" i="5"/>
  <c r="F182" i="6"/>
  <c r="X182" i="6" s="1"/>
  <c r="L59" i="5"/>
  <c r="H100" i="6"/>
  <c r="L66" i="5"/>
  <c r="H107" i="6"/>
  <c r="AA107" i="6" s="1"/>
  <c r="H125" i="6"/>
  <c r="AA125" i="6" s="1"/>
  <c r="H105" i="6"/>
  <c r="AA105" i="6" s="1"/>
  <c r="L72" i="5"/>
  <c r="H127" i="6"/>
  <c r="AA127" i="6" s="1"/>
  <c r="F106" i="6"/>
  <c r="X106" i="6" s="1"/>
  <c r="K65" i="5"/>
  <c r="H126" i="6"/>
  <c r="AA126" i="6" s="1"/>
  <c r="H129" i="6"/>
  <c r="AA129" i="6" s="1"/>
  <c r="H128" i="6"/>
  <c r="AA128" i="6" s="1"/>
  <c r="L65" i="5"/>
  <c r="H106" i="6"/>
  <c r="AA106" i="6" s="1"/>
  <c r="F123" i="6"/>
  <c r="X123" i="6" s="1"/>
  <c r="K70" i="5"/>
  <c r="F111" i="6"/>
  <c r="L71" i="5"/>
  <c r="H112" i="6"/>
  <c r="AA112" i="6" s="1"/>
  <c r="K75" i="5"/>
  <c r="F122" i="6"/>
  <c r="X122" i="6" s="1"/>
  <c r="L69" i="5"/>
  <c r="H110" i="6"/>
  <c r="K55" i="5"/>
  <c r="F96" i="6"/>
  <c r="X96" i="6" s="1"/>
  <c r="F105" i="6"/>
  <c r="X105" i="6" s="1"/>
  <c r="F115" i="6"/>
  <c r="X115" i="6" s="1"/>
  <c r="K74" i="5"/>
  <c r="K58" i="5"/>
  <c r="F99" i="6"/>
  <c r="X99" i="6" s="1"/>
  <c r="F102" i="6"/>
  <c r="K61" i="5"/>
  <c r="F97" i="6"/>
  <c r="X97" i="6" s="1"/>
  <c r="K56" i="5"/>
  <c r="L75" i="5"/>
  <c r="H116" i="6"/>
  <c r="AA116" i="6" s="1"/>
  <c r="F112" i="6"/>
  <c r="X112" i="6" s="1"/>
  <c r="K71" i="5"/>
  <c r="H115" i="6"/>
  <c r="AA115" i="6" s="1"/>
  <c r="L74" i="5"/>
  <c r="L58" i="5"/>
  <c r="H99" i="6"/>
  <c r="AA99" i="6" s="1"/>
  <c r="H97" i="6"/>
  <c r="AA97" i="6" s="1"/>
  <c r="L56" i="5"/>
  <c r="F128" i="6"/>
  <c r="X128" i="6" s="1"/>
  <c r="H111" i="6"/>
  <c r="AA111" i="6" s="1"/>
  <c r="L70" i="5"/>
  <c r="F129" i="6"/>
  <c r="X129" i="6" s="1"/>
  <c r="H124" i="6"/>
  <c r="AA124" i="6" s="1"/>
  <c r="K72" i="5"/>
  <c r="L55" i="5"/>
  <c r="H96" i="6"/>
  <c r="AA96" i="6" s="1"/>
  <c r="L61" i="5"/>
  <c r="H102" i="6"/>
  <c r="K62" i="5"/>
  <c r="Q787" i="6"/>
  <c r="Q787" i="8" s="1"/>
  <c r="AX62" i="5"/>
  <c r="Q800" i="6"/>
  <c r="Q800" i="8" s="1"/>
  <c r="AX75" i="5"/>
  <c r="AW56" i="5"/>
  <c r="O781" i="6"/>
  <c r="O781" i="8" s="1"/>
  <c r="O796" i="6"/>
  <c r="O796" i="8" s="1"/>
  <c r="AW71" i="5"/>
  <c r="Q784" i="6"/>
  <c r="Q784" i="8" s="1"/>
  <c r="AX59" i="5"/>
  <c r="Q781" i="6"/>
  <c r="Q781" i="8" s="1"/>
  <c r="AX56" i="5"/>
  <c r="O800" i="6"/>
  <c r="O800" i="8" s="1"/>
  <c r="AW75" i="5"/>
  <c r="Q796" i="6"/>
  <c r="Q796" i="8" s="1"/>
  <c r="AX71" i="5"/>
  <c r="O799" i="6"/>
  <c r="O799" i="8" s="1"/>
  <c r="AW74" i="5"/>
  <c r="AW59" i="5"/>
  <c r="O784" i="6"/>
  <c r="O784" i="8" s="1"/>
  <c r="AX74" i="5"/>
  <c r="Q799" i="6"/>
  <c r="AX70" i="5"/>
  <c r="Q795" i="6"/>
  <c r="Q795" i="8" s="1"/>
  <c r="AW62" i="5"/>
  <c r="O787" i="6"/>
  <c r="O787" i="8" s="1"/>
  <c r="O795" i="6"/>
  <c r="O795" i="8" s="1"/>
  <c r="AW70" i="5"/>
  <c r="BA88" i="2"/>
  <c r="BE86" i="2"/>
  <c r="F95" i="6"/>
  <c r="X95" i="6" s="1"/>
  <c r="F94" i="6"/>
  <c r="X94" i="6" s="1"/>
  <c r="H95" i="6"/>
  <c r="AA95" i="6" s="1"/>
  <c r="BF86" i="2"/>
  <c r="AX57" i="5"/>
  <c r="AW63" i="5"/>
  <c r="O790" i="6"/>
  <c r="O790" i="8" s="1"/>
  <c r="AW57" i="5"/>
  <c r="Q706" i="6"/>
  <c r="Q706" i="8" s="1"/>
  <c r="Q709" i="6"/>
  <c r="Q709" i="8" s="1"/>
  <c r="AW60" i="5"/>
  <c r="Q701" i="6"/>
  <c r="Q701" i="8" s="1"/>
  <c r="O717" i="6"/>
  <c r="O717" i="8" s="1"/>
  <c r="O701" i="6"/>
  <c r="O701" i="8" s="1"/>
  <c r="O706" i="6"/>
  <c r="O706" i="8" s="1"/>
  <c r="AX63" i="5"/>
  <c r="Q790" i="6"/>
  <c r="Q790" i="8" s="1"/>
  <c r="AX60" i="5"/>
  <c r="O712" i="6"/>
  <c r="O712" i="8" s="1"/>
  <c r="O709" i="6"/>
  <c r="O709" i="8" s="1"/>
  <c r="AW68" i="5"/>
  <c r="AX68" i="5"/>
  <c r="H110" i="8" l="1"/>
  <c r="AA110" i="6"/>
  <c r="AA110" i="8" s="1"/>
  <c r="F111" i="8"/>
  <c r="X111" i="6"/>
  <c r="X111" i="8" s="1"/>
  <c r="H100" i="8"/>
  <c r="AA100" i="6"/>
  <c r="F113" i="8"/>
  <c r="X113" i="6"/>
  <c r="Y113" i="6" s="1"/>
  <c r="Y113" i="8" s="1"/>
  <c r="F102" i="8"/>
  <c r="X102" i="6"/>
  <c r="X102" i="8" s="1"/>
  <c r="H113" i="8"/>
  <c r="AA113" i="6"/>
  <c r="AB113" i="6" s="1"/>
  <c r="AB113" i="8" s="1"/>
  <c r="H102" i="8"/>
  <c r="AA102" i="6"/>
  <c r="AA102" i="8" s="1"/>
  <c r="H338" i="8"/>
  <c r="AA338" i="6"/>
  <c r="X174" i="6"/>
  <c r="H566" i="8"/>
  <c r="AA566" i="6"/>
  <c r="AA566" i="8" s="1"/>
  <c r="H414" i="8"/>
  <c r="AA414" i="6"/>
  <c r="AA414" i="8" s="1"/>
  <c r="H186" i="8"/>
  <c r="AA186" i="6"/>
  <c r="AA186" i="8" s="1"/>
  <c r="H176" i="8"/>
  <c r="AA176" i="6"/>
  <c r="H406" i="8"/>
  <c r="AA406" i="6"/>
  <c r="AA406" i="8" s="1"/>
  <c r="F406" i="8"/>
  <c r="X406" i="6"/>
  <c r="X406" i="8" s="1"/>
  <c r="H404" i="8"/>
  <c r="AA404" i="6"/>
  <c r="F558" i="8"/>
  <c r="X558" i="6"/>
  <c r="X558" i="8" s="1"/>
  <c r="F567" i="8"/>
  <c r="X567" i="6"/>
  <c r="X567" i="8" s="1"/>
  <c r="F553" i="8"/>
  <c r="X553" i="6"/>
  <c r="F330" i="8"/>
  <c r="X330" i="6"/>
  <c r="X330" i="8" s="1"/>
  <c r="H553" i="8"/>
  <c r="AA553" i="6"/>
  <c r="H178" i="8"/>
  <c r="AA178" i="6"/>
  <c r="AA178" i="8" s="1"/>
  <c r="F339" i="8"/>
  <c r="X339" i="6"/>
  <c r="X339" i="8" s="1"/>
  <c r="H328" i="8"/>
  <c r="AA328" i="6"/>
  <c r="F325" i="8"/>
  <c r="X325" i="6"/>
  <c r="X325" i="8" s="1"/>
  <c r="F415" i="8"/>
  <c r="X415" i="6"/>
  <c r="X415" i="8" s="1"/>
  <c r="H341" i="8"/>
  <c r="AA341" i="6"/>
  <c r="F178" i="8"/>
  <c r="X178" i="6"/>
  <c r="X178" i="8" s="1"/>
  <c r="H330" i="8"/>
  <c r="AA330" i="6"/>
  <c r="AA330" i="8" s="1"/>
  <c r="F187" i="8"/>
  <c r="X187" i="6"/>
  <c r="X187" i="8" s="1"/>
  <c r="H556" i="8"/>
  <c r="AA556" i="6"/>
  <c r="F341" i="8"/>
  <c r="X341" i="6"/>
  <c r="F328" i="8"/>
  <c r="X328" i="6"/>
  <c r="Y328" i="6" s="1"/>
  <c r="Y328" i="8" s="1"/>
  <c r="F182" i="8"/>
  <c r="W182" i="6"/>
  <c r="H106" i="8"/>
  <c r="Z106" i="6"/>
  <c r="H562" i="8"/>
  <c r="Z562" i="6"/>
  <c r="H334" i="8"/>
  <c r="Z334" i="6"/>
  <c r="F106" i="8"/>
  <c r="W106" i="6"/>
  <c r="H182" i="8"/>
  <c r="Z182" i="6"/>
  <c r="H410" i="8"/>
  <c r="Z410" i="6"/>
  <c r="F334" i="8"/>
  <c r="W334" i="6"/>
  <c r="F410" i="8"/>
  <c r="W410" i="6"/>
  <c r="F562" i="8"/>
  <c r="W562" i="6"/>
  <c r="H124" i="8"/>
  <c r="H145" i="6"/>
  <c r="F426" i="8"/>
  <c r="G449" i="6"/>
  <c r="G449" i="8" s="1"/>
  <c r="F578" i="8"/>
  <c r="G601" i="6"/>
  <c r="H580" i="8"/>
  <c r="H601" i="6"/>
  <c r="H602" i="6" s="1"/>
  <c r="H603" i="6" s="1"/>
  <c r="H591" i="6"/>
  <c r="H200" i="8"/>
  <c r="H221" i="6"/>
  <c r="H222" i="6" s="1"/>
  <c r="H223" i="6" s="1"/>
  <c r="H211" i="6"/>
  <c r="G221" i="6"/>
  <c r="G221" i="8" s="1"/>
  <c r="F122" i="8"/>
  <c r="G145" i="6"/>
  <c r="G145" i="8" s="1"/>
  <c r="H373" i="6"/>
  <c r="H374" i="6" s="1"/>
  <c r="H375" i="6" s="1"/>
  <c r="H363" i="6"/>
  <c r="G373" i="6"/>
  <c r="G373" i="8" s="1"/>
  <c r="H428" i="8"/>
  <c r="H439" i="6"/>
  <c r="H449" i="6"/>
  <c r="H450" i="6" s="1"/>
  <c r="H451" i="6" s="1"/>
  <c r="AB635" i="6"/>
  <c r="AB635" i="8" s="1"/>
  <c r="H103" i="8"/>
  <c r="P78" i="5"/>
  <c r="P77" i="5"/>
  <c r="O78" i="5"/>
  <c r="O77" i="5"/>
  <c r="Q799" i="8"/>
  <c r="H116" i="8"/>
  <c r="F96" i="8"/>
  <c r="AA173" i="8"/>
  <c r="H173" i="8"/>
  <c r="Y176" i="6"/>
  <c r="Y176" i="8" s="1"/>
  <c r="X176" i="8"/>
  <c r="AA181" i="8"/>
  <c r="H181" i="8"/>
  <c r="H188" i="8"/>
  <c r="F170" i="8"/>
  <c r="H335" i="8"/>
  <c r="F343" i="8"/>
  <c r="F344" i="8"/>
  <c r="H323" i="8"/>
  <c r="F357" i="8"/>
  <c r="F420" i="8"/>
  <c r="H432" i="8"/>
  <c r="H430" i="8"/>
  <c r="F323" i="8"/>
  <c r="H411" i="8"/>
  <c r="F571" i="8"/>
  <c r="F568" i="8"/>
  <c r="H115" i="8"/>
  <c r="F115" i="8"/>
  <c r="H112" i="8"/>
  <c r="H128" i="8"/>
  <c r="F192" i="8"/>
  <c r="H183" i="8"/>
  <c r="H344" i="8"/>
  <c r="F419" i="8"/>
  <c r="F356" i="8"/>
  <c r="H356" i="8"/>
  <c r="H354" i="8"/>
  <c r="AB417" i="6"/>
  <c r="AB417" i="8" s="1"/>
  <c r="AA417" i="8"/>
  <c r="F559" i="8"/>
  <c r="H571" i="8"/>
  <c r="AA558" i="8"/>
  <c r="H558" i="8"/>
  <c r="AB645" i="6"/>
  <c r="AB645" i="8" s="1"/>
  <c r="AA645" i="8"/>
  <c r="F556" i="8"/>
  <c r="Y563" i="6"/>
  <c r="Y563" i="8" s="1"/>
  <c r="X563" i="8"/>
  <c r="H96" i="8"/>
  <c r="H111" i="8"/>
  <c r="X99" i="8"/>
  <c r="F99" i="8"/>
  <c r="X105" i="8"/>
  <c r="F105" i="8"/>
  <c r="AA105" i="8"/>
  <c r="H105" i="8"/>
  <c r="H107" i="8"/>
  <c r="AA175" i="8"/>
  <c r="H175" i="8"/>
  <c r="AA172" i="8"/>
  <c r="H172" i="8"/>
  <c r="Y189" i="6"/>
  <c r="Y189" i="8" s="1"/>
  <c r="X189" i="8"/>
  <c r="F179" i="8"/>
  <c r="H191" i="8"/>
  <c r="X172" i="8"/>
  <c r="F172" i="8"/>
  <c r="F204" i="8"/>
  <c r="F198" i="8"/>
  <c r="F199" i="8"/>
  <c r="H204" i="8"/>
  <c r="H202" i="8"/>
  <c r="F171" i="8"/>
  <c r="H325" i="8"/>
  <c r="F331" i="8"/>
  <c r="F340" i="8"/>
  <c r="X333" i="8"/>
  <c r="F333" i="8"/>
  <c r="H340" i="8"/>
  <c r="H352" i="8"/>
  <c r="F427" i="8"/>
  <c r="H401" i="8"/>
  <c r="AA403" i="8"/>
  <c r="H403" i="8"/>
  <c r="Y404" i="6"/>
  <c r="Y404" i="8" s="1"/>
  <c r="X404" i="8"/>
  <c r="H355" i="8"/>
  <c r="F416" i="8"/>
  <c r="H429" i="8"/>
  <c r="F401" i="8"/>
  <c r="X561" i="8"/>
  <c r="F561" i="8"/>
  <c r="F572" i="8"/>
  <c r="AA555" i="8"/>
  <c r="H555" i="8"/>
  <c r="H572" i="8"/>
  <c r="H563" i="8"/>
  <c r="H97" i="8"/>
  <c r="F116" i="8"/>
  <c r="H125" i="8"/>
  <c r="AB189" i="6"/>
  <c r="AB189" i="8" s="1"/>
  <c r="AA189" i="8"/>
  <c r="X173" i="8"/>
  <c r="F173" i="8"/>
  <c r="H171" i="8"/>
  <c r="F205" i="8"/>
  <c r="H205" i="8"/>
  <c r="AA339" i="8"/>
  <c r="H339" i="8"/>
  <c r="AA327" i="8"/>
  <c r="H327" i="8"/>
  <c r="H343" i="8"/>
  <c r="AA333" i="8"/>
  <c r="H333" i="8"/>
  <c r="F322" i="8"/>
  <c r="X403" i="8"/>
  <c r="F403" i="8"/>
  <c r="X400" i="8"/>
  <c r="F400" i="8"/>
  <c r="F432" i="8"/>
  <c r="H433" i="8"/>
  <c r="H420" i="8"/>
  <c r="H416" i="8"/>
  <c r="H581" i="8"/>
  <c r="AB559" i="6"/>
  <c r="AB559" i="8" s="1"/>
  <c r="AA559" i="8"/>
  <c r="X94" i="8"/>
  <c r="F94" i="8"/>
  <c r="AA99" i="8"/>
  <c r="H99" i="8"/>
  <c r="F123" i="8"/>
  <c r="H126" i="8"/>
  <c r="H127" i="8"/>
  <c r="X181" i="8"/>
  <c r="F181" i="8"/>
  <c r="F188" i="8"/>
  <c r="H201" i="8"/>
  <c r="AA400" i="8"/>
  <c r="H400" i="8"/>
  <c r="H415" i="8"/>
  <c r="H357" i="8"/>
  <c r="H431" i="8"/>
  <c r="AA409" i="8"/>
  <c r="H409" i="8"/>
  <c r="F579" i="8"/>
  <c r="F551" i="8"/>
  <c r="H552" i="8"/>
  <c r="AA633" i="6"/>
  <c r="AA633" i="8" s="1"/>
  <c r="AB103" i="6"/>
  <c r="AB103" i="8" s="1"/>
  <c r="AA103" i="8"/>
  <c r="AB407" i="6"/>
  <c r="AB407" i="8" s="1"/>
  <c r="AA407" i="8"/>
  <c r="Y335" i="6"/>
  <c r="Y335" i="8" s="1"/>
  <c r="X335" i="8"/>
  <c r="Y183" i="6"/>
  <c r="Y183" i="8" s="1"/>
  <c r="X183" i="8"/>
  <c r="AA95" i="8"/>
  <c r="H95" i="8"/>
  <c r="F95" i="8"/>
  <c r="F129" i="8"/>
  <c r="F128" i="8"/>
  <c r="Y100" i="6"/>
  <c r="Y100" i="8" s="1"/>
  <c r="X100" i="8"/>
  <c r="F112" i="8"/>
  <c r="F97" i="8"/>
  <c r="H129" i="8"/>
  <c r="H187" i="8"/>
  <c r="F191" i="8"/>
  <c r="H192" i="8"/>
  <c r="X175" i="8"/>
  <c r="F175" i="8"/>
  <c r="H203" i="8"/>
  <c r="AA324" i="8"/>
  <c r="H324" i="8"/>
  <c r="X327" i="8"/>
  <c r="F327" i="8"/>
  <c r="F324" i="8"/>
  <c r="H399" i="8"/>
  <c r="Y417" i="6"/>
  <c r="Y417" i="8" s="1"/>
  <c r="X417" i="8"/>
  <c r="F398" i="8"/>
  <c r="F433" i="8"/>
  <c r="X409" i="8"/>
  <c r="F409" i="8"/>
  <c r="F351" i="8"/>
  <c r="F407" i="8"/>
  <c r="F399" i="8"/>
  <c r="H419" i="8"/>
  <c r="H353" i="8"/>
  <c r="F350" i="8"/>
  <c r="X555" i="8"/>
  <c r="F555" i="8"/>
  <c r="F552" i="8"/>
  <c r="H568" i="8"/>
  <c r="H567" i="8"/>
  <c r="F584" i="8"/>
  <c r="H584" i="8"/>
  <c r="H585" i="8"/>
  <c r="H582" i="8"/>
  <c r="H583" i="8"/>
  <c r="AB569" i="6"/>
  <c r="AB569" i="8" s="1"/>
  <c r="AA569" i="8"/>
  <c r="AA561" i="8"/>
  <c r="H561" i="8"/>
  <c r="AA551" i="8"/>
  <c r="H551" i="8"/>
  <c r="Y569" i="6"/>
  <c r="Y569" i="8" s="1"/>
  <c r="X569" i="8"/>
  <c r="X550" i="8"/>
  <c r="F550" i="8"/>
  <c r="F585" i="8"/>
  <c r="Y645" i="6"/>
  <c r="Y645" i="8" s="1"/>
  <c r="X645" i="8"/>
  <c r="AB331" i="6"/>
  <c r="AB331" i="8" s="1"/>
  <c r="AA331" i="8"/>
  <c r="Y411" i="6"/>
  <c r="Y411" i="8" s="1"/>
  <c r="X411" i="8"/>
  <c r="AB179" i="6"/>
  <c r="AB179" i="8" s="1"/>
  <c r="AA179" i="8"/>
  <c r="Y107" i="6"/>
  <c r="Y107" i="8" s="1"/>
  <c r="X107" i="8"/>
  <c r="Y639" i="6"/>
  <c r="Y639" i="8" s="1"/>
  <c r="X639" i="8"/>
  <c r="O793" i="6"/>
  <c r="O793" i="8" s="1"/>
  <c r="H557" i="6"/>
  <c r="H557" i="8" s="1"/>
  <c r="AA642" i="8"/>
  <c r="X638" i="8"/>
  <c r="X635" i="8"/>
  <c r="X629" i="8"/>
  <c r="X643" i="8"/>
  <c r="AA632" i="8"/>
  <c r="AA638" i="8"/>
  <c r="F557" i="6"/>
  <c r="F557" i="8" s="1"/>
  <c r="H565" i="6"/>
  <c r="H565" i="8" s="1"/>
  <c r="F560" i="6"/>
  <c r="F560" i="8" s="1"/>
  <c r="F565" i="6"/>
  <c r="F565" i="8" s="1"/>
  <c r="H554" i="6"/>
  <c r="H554" i="8" s="1"/>
  <c r="H549" i="6"/>
  <c r="H549" i="8" s="1"/>
  <c r="F554" i="6"/>
  <c r="F554" i="8" s="1"/>
  <c r="H560" i="6"/>
  <c r="H560" i="8" s="1"/>
  <c r="F549" i="6"/>
  <c r="F549" i="8" s="1"/>
  <c r="F326" i="6"/>
  <c r="F326" i="8" s="1"/>
  <c r="H413" i="6"/>
  <c r="H413" i="8" s="1"/>
  <c r="F408" i="6"/>
  <c r="F408" i="8" s="1"/>
  <c r="F413" i="6"/>
  <c r="F413" i="8" s="1"/>
  <c r="F405" i="6"/>
  <c r="F405" i="8" s="1"/>
  <c r="H405" i="6"/>
  <c r="H405" i="8" s="1"/>
  <c r="H408" i="6"/>
  <c r="H408" i="8" s="1"/>
  <c r="F402" i="6"/>
  <c r="F402" i="8" s="1"/>
  <c r="H402" i="6"/>
  <c r="H402" i="8" s="1"/>
  <c r="H332" i="6"/>
  <c r="H332" i="8" s="1"/>
  <c r="F337" i="6"/>
  <c r="F337" i="8" s="1"/>
  <c r="H326" i="6"/>
  <c r="H326" i="8" s="1"/>
  <c r="H329" i="6"/>
  <c r="H329" i="8" s="1"/>
  <c r="F321" i="6"/>
  <c r="F321" i="8" s="1"/>
  <c r="H337" i="6"/>
  <c r="H337" i="8" s="1"/>
  <c r="F332" i="6"/>
  <c r="F332" i="8" s="1"/>
  <c r="F329" i="6"/>
  <c r="F329" i="8" s="1"/>
  <c r="F180" i="6"/>
  <c r="F180" i="8" s="1"/>
  <c r="H177" i="6"/>
  <c r="H177" i="8" s="1"/>
  <c r="H185" i="6"/>
  <c r="H185" i="8" s="1"/>
  <c r="H174" i="6"/>
  <c r="H174" i="8" s="1"/>
  <c r="F185" i="6"/>
  <c r="F185" i="8" s="1"/>
  <c r="F174" i="6"/>
  <c r="F174" i="8" s="1"/>
  <c r="H180" i="6"/>
  <c r="H180" i="8" s="1"/>
  <c r="F177" i="6"/>
  <c r="F177" i="8" s="1"/>
  <c r="H101" i="6"/>
  <c r="H101" i="8" s="1"/>
  <c r="F104" i="6"/>
  <c r="F104" i="8" s="1"/>
  <c r="F98" i="6"/>
  <c r="F98" i="8" s="1"/>
  <c r="H109" i="6"/>
  <c r="H109" i="8" s="1"/>
  <c r="H98" i="6"/>
  <c r="H98" i="8" s="1"/>
  <c r="F109" i="6"/>
  <c r="F109" i="8" s="1"/>
  <c r="H104" i="6"/>
  <c r="H104" i="8" s="1"/>
  <c r="Q793" i="6"/>
  <c r="Q793" i="8" s="1"/>
  <c r="F93" i="6"/>
  <c r="F93" i="8" s="1"/>
  <c r="BK86" i="2"/>
  <c r="H93" i="6"/>
  <c r="H93" i="8" s="1"/>
  <c r="BJ86" i="2"/>
  <c r="O777" i="6"/>
  <c r="O777" i="8" s="1"/>
  <c r="O782" i="6"/>
  <c r="O782" i="8" s="1"/>
  <c r="Q785" i="6"/>
  <c r="Q785" i="8" s="1"/>
  <c r="O788" i="6"/>
  <c r="O788" i="8" s="1"/>
  <c r="Q782" i="6"/>
  <c r="Q782" i="8" s="1"/>
  <c r="Q788" i="6"/>
  <c r="Q788" i="8" s="1"/>
  <c r="Q777" i="6"/>
  <c r="Q777" i="8" s="1"/>
  <c r="O785" i="6"/>
  <c r="O785" i="8" s="1"/>
  <c r="H221" i="8" l="1"/>
  <c r="H145" i="8"/>
  <c r="W334" i="8"/>
  <c r="W332" i="6"/>
  <c r="Z182" i="8"/>
  <c r="Z180" i="6"/>
  <c r="Z334" i="8"/>
  <c r="Z332" i="6"/>
  <c r="Z106" i="8"/>
  <c r="Z104" i="6"/>
  <c r="W562" i="8"/>
  <c r="W560" i="6"/>
  <c r="W410" i="8"/>
  <c r="W408" i="6"/>
  <c r="Z410" i="8"/>
  <c r="Z408" i="6"/>
  <c r="W182" i="8"/>
  <c r="W180" i="6"/>
  <c r="W106" i="8"/>
  <c r="W104" i="6"/>
  <c r="Z562" i="8"/>
  <c r="Z560" i="6"/>
  <c r="AB439" i="6"/>
  <c r="AB211" i="6"/>
  <c r="AB667" i="6"/>
  <c r="AB363" i="6"/>
  <c r="AB591" i="6"/>
  <c r="H449" i="8"/>
  <c r="H373" i="8"/>
  <c r="H601" i="8"/>
  <c r="AB221" i="6"/>
  <c r="AB222" i="6" s="1"/>
  <c r="AB223" i="6" s="1"/>
  <c r="G601" i="8"/>
  <c r="X198" i="8"/>
  <c r="Z221" i="6"/>
  <c r="AG189" i="6" s="1"/>
  <c r="X426" i="8"/>
  <c r="Z449" i="6"/>
  <c r="AA428" i="8"/>
  <c r="AB449" i="6"/>
  <c r="AB450" i="6" s="1"/>
  <c r="AB451" i="6" s="1"/>
  <c r="AB677" i="6"/>
  <c r="AB678" i="6" s="1"/>
  <c r="AB679" i="6" s="1"/>
  <c r="Z677" i="6"/>
  <c r="AA580" i="8"/>
  <c r="AB601" i="6"/>
  <c r="AB602" i="6" s="1"/>
  <c r="AB603" i="6" s="1"/>
  <c r="AA352" i="8"/>
  <c r="AB373" i="6"/>
  <c r="AB374" i="6" s="1"/>
  <c r="AB375" i="6" s="1"/>
  <c r="X122" i="8"/>
  <c r="Z145" i="6"/>
  <c r="AG113" i="6" s="1"/>
  <c r="AA124" i="8"/>
  <c r="AB145" i="6"/>
  <c r="Z373" i="6"/>
  <c r="AG341" i="6" s="1"/>
  <c r="X578" i="8"/>
  <c r="Z601" i="6"/>
  <c r="AG569" i="6" s="1"/>
  <c r="AA114" i="8"/>
  <c r="AB114" i="6"/>
  <c r="AB114" i="8" s="1"/>
  <c r="X114" i="8"/>
  <c r="Y114" i="6"/>
  <c r="Y114" i="8" s="1"/>
  <c r="X113" i="8"/>
  <c r="AA113" i="8"/>
  <c r="Y94" i="6"/>
  <c r="Y94" i="8" s="1"/>
  <c r="X328" i="8"/>
  <c r="AB339" i="6"/>
  <c r="AB339" i="8" s="1"/>
  <c r="X402" i="6"/>
  <c r="X402" i="8" s="1"/>
  <c r="T78" i="5"/>
  <c r="AB175" i="6"/>
  <c r="AB175" i="8" s="1"/>
  <c r="Y198" i="6"/>
  <c r="Y198" i="8" s="1"/>
  <c r="X93" i="6"/>
  <c r="X93" i="8" s="1"/>
  <c r="AB105" i="6"/>
  <c r="AB105" i="8" s="1"/>
  <c r="Y403" i="6"/>
  <c r="Y403" i="8" s="1"/>
  <c r="Y105" i="6"/>
  <c r="Y105" i="8" s="1"/>
  <c r="Y327" i="6"/>
  <c r="Y327" i="8" s="1"/>
  <c r="AB403" i="6"/>
  <c r="AB403" i="8" s="1"/>
  <c r="S78" i="5"/>
  <c r="AB352" i="6"/>
  <c r="Y333" i="6"/>
  <c r="Y333" i="8" s="1"/>
  <c r="AB181" i="6"/>
  <c r="AB181" i="8" s="1"/>
  <c r="Y550" i="6"/>
  <c r="Y550" i="8" s="1"/>
  <c r="Y175" i="6"/>
  <c r="Y175" i="8" s="1"/>
  <c r="X630" i="6"/>
  <c r="X630" i="8" s="1"/>
  <c r="AA93" i="6"/>
  <c r="AA93" i="8" s="1"/>
  <c r="AB99" i="6"/>
  <c r="AB99" i="8" s="1"/>
  <c r="X98" i="6"/>
  <c r="X98" i="8" s="1"/>
  <c r="AB333" i="6"/>
  <c r="AB333" i="8" s="1"/>
  <c r="AB555" i="6"/>
  <c r="AB555" i="8" s="1"/>
  <c r="AB95" i="6"/>
  <c r="AB95" i="8" s="1"/>
  <c r="X174" i="8"/>
  <c r="X326" i="6"/>
  <c r="X326" i="8" s="1"/>
  <c r="AB327" i="6"/>
  <c r="AB327" i="8" s="1"/>
  <c r="Y561" i="6"/>
  <c r="Y561" i="8" s="1"/>
  <c r="AB173" i="6"/>
  <c r="AB173" i="8" s="1"/>
  <c r="Y99" i="6"/>
  <c r="Y99" i="8" s="1"/>
  <c r="Y181" i="6"/>
  <c r="Y181" i="8" s="1"/>
  <c r="AB409" i="6"/>
  <c r="AB409" i="8" s="1"/>
  <c r="Y409" i="6"/>
  <c r="Y409" i="8" s="1"/>
  <c r="AA557" i="6"/>
  <c r="AA557" i="8" s="1"/>
  <c r="AB561" i="6"/>
  <c r="AB561" i="8" s="1"/>
  <c r="X554" i="6"/>
  <c r="X554" i="8" s="1"/>
  <c r="AB558" i="6"/>
  <c r="AB558" i="8" s="1"/>
  <c r="Y106" i="6"/>
  <c r="Y106" i="8" s="1"/>
  <c r="X106" i="8"/>
  <c r="AB338" i="6"/>
  <c r="AB338" i="8" s="1"/>
  <c r="AA338" i="8"/>
  <c r="AB334" i="6"/>
  <c r="AB334" i="8" s="1"/>
  <c r="AA334" i="8"/>
  <c r="AB562" i="6"/>
  <c r="AB562" i="8" s="1"/>
  <c r="AA562" i="8"/>
  <c r="AB553" i="6"/>
  <c r="AB553" i="8" s="1"/>
  <c r="AA553" i="8"/>
  <c r="AB556" i="6"/>
  <c r="AB556" i="8" s="1"/>
  <c r="AA556" i="8"/>
  <c r="AB106" i="6"/>
  <c r="AB106" i="8" s="1"/>
  <c r="AA106" i="8"/>
  <c r="AB100" i="6"/>
  <c r="AB100" i="8" s="1"/>
  <c r="AA100" i="8"/>
  <c r="AB182" i="6"/>
  <c r="AB182" i="8" s="1"/>
  <c r="AA182" i="8"/>
  <c r="Y182" i="6"/>
  <c r="Y182" i="8" s="1"/>
  <c r="X182" i="8"/>
  <c r="AB328" i="6"/>
  <c r="AB328" i="8" s="1"/>
  <c r="AA328" i="8"/>
  <c r="Y553" i="6"/>
  <c r="Y553" i="8" s="1"/>
  <c r="X553" i="8"/>
  <c r="AB629" i="6"/>
  <c r="AA629" i="8"/>
  <c r="AB656" i="6"/>
  <c r="AA656" i="8"/>
  <c r="Y341" i="6"/>
  <c r="Y341" i="8" s="1"/>
  <c r="X341" i="8"/>
  <c r="Y655" i="6"/>
  <c r="Y655" i="8" s="1"/>
  <c r="X655" i="8"/>
  <c r="AB637" i="6"/>
  <c r="AB637" i="8" s="1"/>
  <c r="AA637" i="8"/>
  <c r="Y585" i="6"/>
  <c r="Y585" i="8" s="1"/>
  <c r="X585" i="8"/>
  <c r="AB583" i="6"/>
  <c r="AB583" i="8" s="1"/>
  <c r="AA583" i="8"/>
  <c r="AB585" i="6"/>
  <c r="AB585" i="8" s="1"/>
  <c r="AA585" i="8"/>
  <c r="Y584" i="6"/>
  <c r="Y584" i="8" s="1"/>
  <c r="X584" i="8"/>
  <c r="AB568" i="6"/>
  <c r="AB568" i="8" s="1"/>
  <c r="AA568" i="8"/>
  <c r="AB200" i="6"/>
  <c r="AA200" i="8"/>
  <c r="AB404" i="6"/>
  <c r="AB404" i="8" s="1"/>
  <c r="AA404" i="8"/>
  <c r="Y555" i="6"/>
  <c r="Y555" i="8" s="1"/>
  <c r="Y654" i="6"/>
  <c r="Y654" i="8" s="1"/>
  <c r="X654" i="8"/>
  <c r="AB419" i="6"/>
  <c r="AB419" i="8" s="1"/>
  <c r="AA419" i="8"/>
  <c r="Y407" i="6"/>
  <c r="Y407" i="8" s="1"/>
  <c r="X407" i="8"/>
  <c r="Y398" i="6"/>
  <c r="Y398" i="8" s="1"/>
  <c r="X398" i="8"/>
  <c r="AB399" i="6"/>
  <c r="AB399" i="8" s="1"/>
  <c r="AA399" i="8"/>
  <c r="AB203" i="6"/>
  <c r="AB203" i="8" s="1"/>
  <c r="AA203" i="8"/>
  <c r="Y191" i="6"/>
  <c r="Y191" i="8" s="1"/>
  <c r="X191" i="8"/>
  <c r="Y112" i="6"/>
  <c r="Y112" i="8" s="1"/>
  <c r="X112" i="8"/>
  <c r="Y128" i="6"/>
  <c r="Y128" i="8" s="1"/>
  <c r="X128" i="8"/>
  <c r="AB634" i="6"/>
  <c r="AA634" i="8"/>
  <c r="AB552" i="6"/>
  <c r="AB552" i="8" s="1"/>
  <c r="AA552" i="8"/>
  <c r="Y551" i="6"/>
  <c r="Y551" i="8" s="1"/>
  <c r="X551" i="8"/>
  <c r="AB431" i="6"/>
  <c r="AB431" i="8" s="1"/>
  <c r="AA431" i="8"/>
  <c r="AB415" i="6"/>
  <c r="AB415" i="8" s="1"/>
  <c r="AA415" i="8"/>
  <c r="AB201" i="6"/>
  <c r="AB201" i="8" s="1"/>
  <c r="AA201" i="8"/>
  <c r="AB127" i="6"/>
  <c r="AB127" i="8" s="1"/>
  <c r="AA127" i="8"/>
  <c r="Y123" i="6"/>
  <c r="Y123" i="8" s="1"/>
  <c r="X123" i="8"/>
  <c r="Y632" i="6"/>
  <c r="Y632" i="8" s="1"/>
  <c r="X632" i="8"/>
  <c r="AB659" i="6"/>
  <c r="AB659" i="8" s="1"/>
  <c r="AA659" i="8"/>
  <c r="AB647" i="6"/>
  <c r="AB647" i="8" s="1"/>
  <c r="AA647" i="8"/>
  <c r="AB416" i="6"/>
  <c r="AB416" i="8" s="1"/>
  <c r="AA416" i="8"/>
  <c r="AB433" i="6"/>
  <c r="AB433" i="8" s="1"/>
  <c r="AA433" i="8"/>
  <c r="Y322" i="6"/>
  <c r="Y322" i="8" s="1"/>
  <c r="X322" i="8"/>
  <c r="AB205" i="6"/>
  <c r="AB205" i="8" s="1"/>
  <c r="AA205" i="8"/>
  <c r="AB171" i="6"/>
  <c r="AB171" i="8" s="1"/>
  <c r="AA171" i="8"/>
  <c r="Y116" i="6"/>
  <c r="Y116" i="8" s="1"/>
  <c r="X116" i="8"/>
  <c r="AB97" i="6"/>
  <c r="AB97" i="8" s="1"/>
  <c r="AA97" i="8"/>
  <c r="Y627" i="6"/>
  <c r="Y627" i="8" s="1"/>
  <c r="X627" i="8"/>
  <c r="Y648" i="6"/>
  <c r="Y648" i="8" s="1"/>
  <c r="X648" i="8"/>
  <c r="AB628" i="6"/>
  <c r="AB628" i="8" s="1"/>
  <c r="AA628" i="8"/>
  <c r="AB563" i="6"/>
  <c r="AB563" i="8" s="1"/>
  <c r="AA563" i="8"/>
  <c r="Y401" i="6"/>
  <c r="Y401" i="8" s="1"/>
  <c r="X401" i="8"/>
  <c r="Y416" i="6"/>
  <c r="Y416" i="8" s="1"/>
  <c r="X416" i="8"/>
  <c r="AB401" i="6"/>
  <c r="AB401" i="8" s="1"/>
  <c r="AA401" i="8"/>
  <c r="Y331" i="6"/>
  <c r="Y331" i="8" s="1"/>
  <c r="X331" i="8"/>
  <c r="AB202" i="6"/>
  <c r="AB202" i="8" s="1"/>
  <c r="AA202" i="8"/>
  <c r="Y199" i="6"/>
  <c r="Y199" i="8" s="1"/>
  <c r="X199" i="8"/>
  <c r="Y179" i="6"/>
  <c r="Y179" i="8" s="1"/>
  <c r="X179" i="8"/>
  <c r="AB107" i="6"/>
  <c r="AB107" i="8" s="1"/>
  <c r="AA107" i="8"/>
  <c r="AB96" i="6"/>
  <c r="AB96" i="8" s="1"/>
  <c r="AA96" i="8"/>
  <c r="Y556" i="6"/>
  <c r="Y556" i="8" s="1"/>
  <c r="X556" i="8"/>
  <c r="Y631" i="6"/>
  <c r="X631" i="8"/>
  <c r="Y559" i="6"/>
  <c r="Y559" i="8" s="1"/>
  <c r="X559" i="8"/>
  <c r="AB356" i="6"/>
  <c r="AB356" i="8" s="1"/>
  <c r="AA356" i="8"/>
  <c r="Y419" i="6"/>
  <c r="Y419" i="8" s="1"/>
  <c r="X419" i="8"/>
  <c r="AB183" i="6"/>
  <c r="AB183" i="8" s="1"/>
  <c r="AA183" i="8"/>
  <c r="AB112" i="6"/>
  <c r="AB112" i="8" s="1"/>
  <c r="AA112" i="8"/>
  <c r="AB115" i="6"/>
  <c r="AB115" i="8" s="1"/>
  <c r="AA115" i="8"/>
  <c r="Y660" i="6"/>
  <c r="Y660" i="8" s="1"/>
  <c r="X660" i="8"/>
  <c r="Y644" i="6"/>
  <c r="Y644" i="8" s="1"/>
  <c r="X644" i="8"/>
  <c r="Y568" i="6"/>
  <c r="Y568" i="8" s="1"/>
  <c r="X568" i="8"/>
  <c r="AB411" i="6"/>
  <c r="AB411" i="8" s="1"/>
  <c r="AA411" i="8"/>
  <c r="AB430" i="6"/>
  <c r="AB430" i="8" s="1"/>
  <c r="AA430" i="8"/>
  <c r="Y420" i="6"/>
  <c r="Y420" i="8" s="1"/>
  <c r="X420" i="8"/>
  <c r="AB323" i="6"/>
  <c r="AB323" i="8" s="1"/>
  <c r="AA323" i="8"/>
  <c r="Y343" i="6"/>
  <c r="Y343" i="8" s="1"/>
  <c r="X343" i="8"/>
  <c r="Y170" i="6"/>
  <c r="Y170" i="8" s="1"/>
  <c r="X170" i="8"/>
  <c r="AB116" i="6"/>
  <c r="AB116" i="8" s="1"/>
  <c r="AA116" i="8"/>
  <c r="AB176" i="6"/>
  <c r="AB176" i="8" s="1"/>
  <c r="AA176" i="8"/>
  <c r="Y334" i="6"/>
  <c r="Y334" i="8" s="1"/>
  <c r="X334" i="8"/>
  <c r="AB410" i="6"/>
  <c r="AB410" i="8" s="1"/>
  <c r="AA410" i="8"/>
  <c r="Y410" i="6"/>
  <c r="Y410" i="8" s="1"/>
  <c r="X410" i="8"/>
  <c r="AB341" i="6"/>
  <c r="AB341" i="8" s="1"/>
  <c r="AA341" i="8"/>
  <c r="AB661" i="6"/>
  <c r="AB661" i="8" s="1"/>
  <c r="AA661" i="8"/>
  <c r="Y634" i="6"/>
  <c r="Y634" i="8" s="1"/>
  <c r="X634" i="8"/>
  <c r="AB648" i="6"/>
  <c r="AB648" i="8" s="1"/>
  <c r="AA648" i="8"/>
  <c r="AB643" i="6"/>
  <c r="AB643" i="8" s="1"/>
  <c r="AA643" i="8"/>
  <c r="AB582" i="6"/>
  <c r="AB582" i="8" s="1"/>
  <c r="AA582" i="8"/>
  <c r="AB584" i="6"/>
  <c r="AB584" i="8" s="1"/>
  <c r="AA584" i="8"/>
  <c r="AB567" i="6"/>
  <c r="AB567" i="8" s="1"/>
  <c r="AA567" i="8"/>
  <c r="Y552" i="6"/>
  <c r="Y552" i="8" s="1"/>
  <c r="X552" i="8"/>
  <c r="X350" i="8"/>
  <c r="AB551" i="6"/>
  <c r="AB551" i="8" s="1"/>
  <c r="Y562" i="6"/>
  <c r="Y562" i="8" s="1"/>
  <c r="X562" i="8"/>
  <c r="AB353" i="6"/>
  <c r="AB353" i="8" s="1"/>
  <c r="AA353" i="8"/>
  <c r="Y399" i="6"/>
  <c r="Y399" i="8" s="1"/>
  <c r="X399" i="8"/>
  <c r="Y351" i="6"/>
  <c r="Y351" i="8" s="1"/>
  <c r="X351" i="8"/>
  <c r="Y433" i="6"/>
  <c r="Y433" i="8" s="1"/>
  <c r="X433" i="8"/>
  <c r="Y324" i="6"/>
  <c r="Y324" i="8" s="1"/>
  <c r="X324" i="8"/>
  <c r="AB192" i="6"/>
  <c r="AB192" i="8" s="1"/>
  <c r="AA192" i="8"/>
  <c r="AB187" i="6"/>
  <c r="AB187" i="8" s="1"/>
  <c r="AA187" i="8"/>
  <c r="AB129" i="6"/>
  <c r="AB129" i="8" s="1"/>
  <c r="AA129" i="8"/>
  <c r="Y97" i="6"/>
  <c r="Y97" i="8" s="1"/>
  <c r="X97" i="8"/>
  <c r="Y129" i="6"/>
  <c r="Y129" i="8" s="1"/>
  <c r="X129" i="8"/>
  <c r="Y95" i="6"/>
  <c r="Y95" i="8" s="1"/>
  <c r="X95" i="8"/>
  <c r="AB660" i="6"/>
  <c r="AB660" i="8" s="1"/>
  <c r="AA660" i="8"/>
  <c r="Y628" i="6"/>
  <c r="Y628" i="8" s="1"/>
  <c r="X628" i="8"/>
  <c r="AB639" i="6"/>
  <c r="AB639" i="8" s="1"/>
  <c r="AA639" i="8"/>
  <c r="Y579" i="6"/>
  <c r="Y579" i="8" s="1"/>
  <c r="X579" i="8"/>
  <c r="AB357" i="6"/>
  <c r="AB357" i="8" s="1"/>
  <c r="AA357" i="8"/>
  <c r="Y188" i="6"/>
  <c r="Y188" i="8" s="1"/>
  <c r="X188" i="8"/>
  <c r="AB126" i="6"/>
  <c r="AB126" i="8" s="1"/>
  <c r="AA126" i="8"/>
  <c r="Y626" i="6"/>
  <c r="Y626" i="8" s="1"/>
  <c r="X626" i="8"/>
  <c r="Y637" i="6"/>
  <c r="Y637" i="8" s="1"/>
  <c r="X637" i="8"/>
  <c r="AB581" i="6"/>
  <c r="AB581" i="8" s="1"/>
  <c r="AA581" i="8"/>
  <c r="AB420" i="6"/>
  <c r="AB420" i="8" s="1"/>
  <c r="AA420" i="8"/>
  <c r="Y432" i="6"/>
  <c r="Y432" i="8" s="1"/>
  <c r="X432" i="8"/>
  <c r="AB343" i="6"/>
  <c r="AB343" i="8" s="1"/>
  <c r="AA343" i="8"/>
  <c r="Y205" i="6"/>
  <c r="Y205" i="8" s="1"/>
  <c r="X205" i="8"/>
  <c r="AB125" i="6"/>
  <c r="AB125" i="8" s="1"/>
  <c r="AA125" i="8"/>
  <c r="AB627" i="6"/>
  <c r="AB627" i="8" s="1"/>
  <c r="AA627" i="8"/>
  <c r="AB657" i="6"/>
  <c r="AB657" i="8" s="1"/>
  <c r="AA657" i="8"/>
  <c r="Y647" i="6"/>
  <c r="Y647" i="8" s="1"/>
  <c r="X647" i="8"/>
  <c r="AB572" i="6"/>
  <c r="AB572" i="8" s="1"/>
  <c r="AA572" i="8"/>
  <c r="Y572" i="6"/>
  <c r="Y572" i="8" s="1"/>
  <c r="X572" i="8"/>
  <c r="AB429" i="6"/>
  <c r="AB429" i="8" s="1"/>
  <c r="AA429" i="8"/>
  <c r="AB355" i="6"/>
  <c r="AB355" i="8" s="1"/>
  <c r="AA355" i="8"/>
  <c r="Y427" i="6"/>
  <c r="Y427" i="8" s="1"/>
  <c r="X427" i="8"/>
  <c r="AB340" i="6"/>
  <c r="AB340" i="8" s="1"/>
  <c r="AA340" i="8"/>
  <c r="Y340" i="6"/>
  <c r="Y340" i="8" s="1"/>
  <c r="X340" i="8"/>
  <c r="AB325" i="6"/>
  <c r="AB325" i="8" s="1"/>
  <c r="AA325" i="8"/>
  <c r="Y171" i="6"/>
  <c r="Y171" i="8" s="1"/>
  <c r="X171" i="8"/>
  <c r="AB204" i="6"/>
  <c r="AB204" i="8" s="1"/>
  <c r="AA204" i="8"/>
  <c r="Y204" i="6"/>
  <c r="Y204" i="8" s="1"/>
  <c r="X204" i="8"/>
  <c r="AB191" i="6"/>
  <c r="AB191" i="8" s="1"/>
  <c r="AA191" i="8"/>
  <c r="AB111" i="6"/>
  <c r="AB111" i="8" s="1"/>
  <c r="AA111" i="8"/>
  <c r="AB658" i="6"/>
  <c r="AB658" i="8" s="1"/>
  <c r="AA658" i="8"/>
  <c r="AB571" i="6"/>
  <c r="AB571" i="8" s="1"/>
  <c r="AA571" i="8"/>
  <c r="AB354" i="6"/>
  <c r="AB354" i="8" s="1"/>
  <c r="AA354" i="8"/>
  <c r="Y356" i="6"/>
  <c r="Y356" i="8" s="1"/>
  <c r="X356" i="8"/>
  <c r="AB344" i="6"/>
  <c r="AB344" i="8" s="1"/>
  <c r="AA344" i="8"/>
  <c r="Y192" i="6"/>
  <c r="Y192" i="8" s="1"/>
  <c r="X192" i="8"/>
  <c r="AB128" i="6"/>
  <c r="AB128" i="8" s="1"/>
  <c r="AA128" i="8"/>
  <c r="Y115" i="6"/>
  <c r="Y115" i="8" s="1"/>
  <c r="X115" i="8"/>
  <c r="Y661" i="6"/>
  <c r="Y661" i="8" s="1"/>
  <c r="X661" i="8"/>
  <c r="AB644" i="6"/>
  <c r="AB644" i="8" s="1"/>
  <c r="AA644" i="8"/>
  <c r="AB631" i="6"/>
  <c r="AB631" i="8" s="1"/>
  <c r="AA631" i="8"/>
  <c r="Y571" i="6"/>
  <c r="Y571" i="8" s="1"/>
  <c r="X571" i="8"/>
  <c r="Y323" i="6"/>
  <c r="Y323" i="8" s="1"/>
  <c r="X323" i="8"/>
  <c r="AB432" i="6"/>
  <c r="AB432" i="8" s="1"/>
  <c r="AA432" i="8"/>
  <c r="Y357" i="6"/>
  <c r="Y357" i="8" s="1"/>
  <c r="X357" i="8"/>
  <c r="Y344" i="6"/>
  <c r="Y344" i="8" s="1"/>
  <c r="X344" i="8"/>
  <c r="AB335" i="6"/>
  <c r="AB335" i="8" s="1"/>
  <c r="AA335" i="8"/>
  <c r="AB188" i="6"/>
  <c r="AB188" i="8" s="1"/>
  <c r="AA188" i="8"/>
  <c r="Y96" i="6"/>
  <c r="Y96" i="8" s="1"/>
  <c r="X96" i="8"/>
  <c r="AA549" i="6"/>
  <c r="AA549" i="8" s="1"/>
  <c r="X549" i="6"/>
  <c r="X549" i="8" s="1"/>
  <c r="X636" i="6"/>
  <c r="X636" i="8" s="1"/>
  <c r="AB632" i="6"/>
  <c r="AB632" i="8" s="1"/>
  <c r="AA630" i="6"/>
  <c r="AA630" i="8" s="1"/>
  <c r="X633" i="6"/>
  <c r="X633" i="8" s="1"/>
  <c r="Y635" i="6"/>
  <c r="Y635" i="8" s="1"/>
  <c r="AA636" i="6"/>
  <c r="AA636" i="8" s="1"/>
  <c r="AB642" i="6"/>
  <c r="AB642" i="8" s="1"/>
  <c r="AA641" i="6"/>
  <c r="AA641" i="8" s="1"/>
  <c r="Y643" i="6"/>
  <c r="Y643" i="8" s="1"/>
  <c r="X641" i="6"/>
  <c r="X641" i="8" s="1"/>
  <c r="X625" i="6"/>
  <c r="X625" i="8" s="1"/>
  <c r="Y629" i="6"/>
  <c r="Y629" i="8" s="1"/>
  <c r="AA625" i="6"/>
  <c r="AA625" i="8" s="1"/>
  <c r="AB580" i="6"/>
  <c r="X565" i="6"/>
  <c r="X565" i="8" s="1"/>
  <c r="Y567" i="6"/>
  <c r="Y567" i="8" s="1"/>
  <c r="AB566" i="6"/>
  <c r="AB566" i="8" s="1"/>
  <c r="AA565" i="6"/>
  <c r="AA565" i="8" s="1"/>
  <c r="AA98" i="6"/>
  <c r="AA98" i="8" s="1"/>
  <c r="AA326" i="6"/>
  <c r="AA326" i="8" s="1"/>
  <c r="Y578" i="6"/>
  <c r="Y578" i="8" s="1"/>
  <c r="Y350" i="6"/>
  <c r="Y350" i="8" s="1"/>
  <c r="AA554" i="6"/>
  <c r="AA554" i="8" s="1"/>
  <c r="AA560" i="6"/>
  <c r="AA560" i="8" s="1"/>
  <c r="X560" i="6"/>
  <c r="X560" i="8" s="1"/>
  <c r="Y558" i="6"/>
  <c r="Y558" i="8" s="1"/>
  <c r="X557" i="6"/>
  <c r="X557" i="8" s="1"/>
  <c r="AA402" i="6"/>
  <c r="AA402" i="8" s="1"/>
  <c r="Y426" i="6"/>
  <c r="Y426" i="8" s="1"/>
  <c r="AA408" i="6"/>
  <c r="AA408" i="8" s="1"/>
  <c r="Y415" i="6"/>
  <c r="Y415" i="8" s="1"/>
  <c r="X413" i="6"/>
  <c r="X413" i="8" s="1"/>
  <c r="AB414" i="6"/>
  <c r="AB414" i="8" s="1"/>
  <c r="AA413" i="6"/>
  <c r="AA413" i="8" s="1"/>
  <c r="AB406" i="6"/>
  <c r="AB406" i="8" s="1"/>
  <c r="AA405" i="6"/>
  <c r="AA405" i="8" s="1"/>
  <c r="Y406" i="6"/>
  <c r="Y406" i="8" s="1"/>
  <c r="X405" i="6"/>
  <c r="X405" i="8" s="1"/>
  <c r="X408" i="6"/>
  <c r="X408" i="8" s="1"/>
  <c r="AB428" i="6"/>
  <c r="Y325" i="6"/>
  <c r="Y325" i="8" s="1"/>
  <c r="X321" i="6"/>
  <c r="X321" i="8" s="1"/>
  <c r="AB330" i="6"/>
  <c r="AB330" i="8" s="1"/>
  <c r="AA329" i="6"/>
  <c r="AA329" i="8" s="1"/>
  <c r="Y339" i="6"/>
  <c r="Y339" i="8" s="1"/>
  <c r="X337" i="6"/>
  <c r="X337" i="8" s="1"/>
  <c r="X332" i="6"/>
  <c r="X332" i="8" s="1"/>
  <c r="Y330" i="6"/>
  <c r="Y330" i="8" s="1"/>
  <c r="X329" i="6"/>
  <c r="X329" i="8" s="1"/>
  <c r="AA332" i="6"/>
  <c r="AA332" i="8" s="1"/>
  <c r="AA337" i="6"/>
  <c r="AA337" i="8" s="1"/>
  <c r="X180" i="6"/>
  <c r="X180" i="8" s="1"/>
  <c r="X104" i="6"/>
  <c r="X104" i="8" s="1"/>
  <c r="AA180" i="6"/>
  <c r="AA180" i="8" s="1"/>
  <c r="Y178" i="6"/>
  <c r="Y178" i="8" s="1"/>
  <c r="X177" i="6"/>
  <c r="X177" i="8" s="1"/>
  <c r="AA174" i="6"/>
  <c r="AA174" i="8" s="1"/>
  <c r="Y187" i="6"/>
  <c r="Y187" i="8" s="1"/>
  <c r="X185" i="6"/>
  <c r="X185" i="8" s="1"/>
  <c r="AB178" i="6"/>
  <c r="AB178" i="8" s="1"/>
  <c r="AA177" i="6"/>
  <c r="AA177" i="8" s="1"/>
  <c r="AB186" i="6"/>
  <c r="AB186" i="8" s="1"/>
  <c r="AA185" i="6"/>
  <c r="AA185" i="8" s="1"/>
  <c r="AA104" i="6"/>
  <c r="AA104" i="8" s="1"/>
  <c r="AB124" i="6"/>
  <c r="Y102" i="6"/>
  <c r="Y102" i="8" s="1"/>
  <c r="Y111" i="6"/>
  <c r="Y111" i="8" s="1"/>
  <c r="X109" i="6"/>
  <c r="X109" i="8" s="1"/>
  <c r="Y122" i="6"/>
  <c r="Y122" i="8" s="1"/>
  <c r="H118" i="6"/>
  <c r="AB110" i="6"/>
  <c r="AB110" i="8" s="1"/>
  <c r="AA109" i="6"/>
  <c r="AA109" i="8" s="1"/>
  <c r="AB102" i="6"/>
  <c r="AB102" i="8" s="1"/>
  <c r="AA101" i="6"/>
  <c r="AA101" i="8" s="1"/>
  <c r="BF88" i="2"/>
  <c r="Q211" i="8"/>
  <c r="H139" i="6" l="1"/>
  <c r="H135" i="6"/>
  <c r="Z104" i="8"/>
  <c r="Z118" i="6"/>
  <c r="Z560" i="8"/>
  <c r="Z574" i="6"/>
  <c r="Z408" i="8"/>
  <c r="Z422" i="6"/>
  <c r="W180" i="8"/>
  <c r="W194" i="6"/>
  <c r="W560" i="8"/>
  <c r="W574" i="6"/>
  <c r="Z332" i="8"/>
  <c r="Z346" i="6"/>
  <c r="Z194" i="6"/>
  <c r="Z180" i="8"/>
  <c r="W332" i="8"/>
  <c r="W346" i="6"/>
  <c r="W104" i="8"/>
  <c r="W118" i="6"/>
  <c r="W408" i="8"/>
  <c r="W422" i="6"/>
  <c r="AH645" i="6"/>
  <c r="AH569" i="6"/>
  <c r="AH417" i="6"/>
  <c r="AH341" i="6"/>
  <c r="AH113" i="6"/>
  <c r="AH189" i="6"/>
  <c r="AG417" i="6"/>
  <c r="AG645" i="6"/>
  <c r="AB124" i="8"/>
  <c r="AB656" i="8"/>
  <c r="AB352" i="8"/>
  <c r="AB428" i="8"/>
  <c r="AB580" i="8"/>
  <c r="AB200" i="8"/>
  <c r="Z221" i="8"/>
  <c r="AB373" i="8"/>
  <c r="AB677" i="8"/>
  <c r="Y98" i="6"/>
  <c r="Y98" i="8" s="1"/>
  <c r="Y402" i="6"/>
  <c r="Y402" i="8" s="1"/>
  <c r="Y326" i="6"/>
  <c r="Y326" i="8" s="1"/>
  <c r="AB93" i="6"/>
  <c r="AB93" i="8" s="1"/>
  <c r="Y174" i="6"/>
  <c r="Y174" i="8" s="1"/>
  <c r="AB402" i="6"/>
  <c r="AB402" i="8" s="1"/>
  <c r="AB174" i="6"/>
  <c r="AB174" i="8" s="1"/>
  <c r="Y554" i="6"/>
  <c r="Y554" i="8" s="1"/>
  <c r="AB104" i="6"/>
  <c r="AB104" i="8" s="1"/>
  <c r="Y180" i="6"/>
  <c r="Y180" i="8" s="1"/>
  <c r="AB326" i="6"/>
  <c r="AB326" i="8" s="1"/>
  <c r="Y560" i="6"/>
  <c r="Y560" i="8" s="1"/>
  <c r="AB554" i="6"/>
  <c r="AB554" i="8" s="1"/>
  <c r="AB332" i="6"/>
  <c r="AB332" i="8" s="1"/>
  <c r="Y93" i="6"/>
  <c r="Y93" i="8" s="1"/>
  <c r="Y332" i="6"/>
  <c r="Y332" i="8" s="1"/>
  <c r="AB557" i="6"/>
  <c r="AB557" i="8" s="1"/>
  <c r="AB337" i="6"/>
  <c r="AB337" i="8" s="1"/>
  <c r="Y408" i="6"/>
  <c r="Y408" i="8" s="1"/>
  <c r="AB549" i="6"/>
  <c r="AB549" i="8" s="1"/>
  <c r="Z373" i="8"/>
  <c r="AB145" i="8"/>
  <c r="Z449" i="8"/>
  <c r="Y549" i="6"/>
  <c r="Y549" i="8" s="1"/>
  <c r="Z145" i="8"/>
  <c r="Y104" i="6"/>
  <c r="Y104" i="8" s="1"/>
  <c r="AB560" i="6"/>
  <c r="AB560" i="8" s="1"/>
  <c r="AB634" i="8"/>
  <c r="AB633" i="6"/>
  <c r="AB633" i="8" s="1"/>
  <c r="Z601" i="8"/>
  <c r="Z677" i="8"/>
  <c r="Y631" i="8"/>
  <c r="Y630" i="6"/>
  <c r="Y630" i="8" s="1"/>
  <c r="H118" i="8"/>
  <c r="AB180" i="6"/>
  <c r="AB180" i="8" s="1"/>
  <c r="AB221" i="8"/>
  <c r="AB408" i="6"/>
  <c r="AB408" i="8" s="1"/>
  <c r="AB98" i="6"/>
  <c r="AB98" i="8" s="1"/>
  <c r="AB449" i="8"/>
  <c r="AB601" i="8"/>
  <c r="AB625" i="6"/>
  <c r="AB625" i="8" s="1"/>
  <c r="AB629" i="8"/>
  <c r="Y625" i="6"/>
  <c r="Y625" i="8" s="1"/>
  <c r="Y633" i="6"/>
  <c r="Y633" i="8" s="1"/>
  <c r="AB641" i="6"/>
  <c r="AB641" i="8" s="1"/>
  <c r="Y641" i="6"/>
  <c r="Y641" i="8" s="1"/>
  <c r="AB630" i="6"/>
  <c r="AB630" i="8" s="1"/>
  <c r="AB565" i="6"/>
  <c r="AB565" i="8" s="1"/>
  <c r="Y557" i="6"/>
  <c r="Y557" i="8" s="1"/>
  <c r="Y565" i="6"/>
  <c r="Y565" i="8" s="1"/>
  <c r="AB405" i="6"/>
  <c r="AB405" i="8" s="1"/>
  <c r="Y413" i="6"/>
  <c r="Y413" i="8" s="1"/>
  <c r="Y405" i="6"/>
  <c r="Y405" i="8" s="1"/>
  <c r="AB413" i="6"/>
  <c r="AB413" i="8" s="1"/>
  <c r="Y337" i="6"/>
  <c r="Y337" i="8" s="1"/>
  <c r="Y321" i="6"/>
  <c r="Y321" i="8" s="1"/>
  <c r="Y329" i="6"/>
  <c r="Y329" i="8" s="1"/>
  <c r="AB329" i="6"/>
  <c r="AB329" i="8" s="1"/>
  <c r="AB185" i="6"/>
  <c r="AB185" i="8" s="1"/>
  <c r="Y185" i="6"/>
  <c r="Y185" i="8" s="1"/>
  <c r="AB177" i="6"/>
  <c r="AB177" i="8" s="1"/>
  <c r="Y177" i="6"/>
  <c r="Y177" i="8" s="1"/>
  <c r="AA118" i="6"/>
  <c r="AB101" i="6"/>
  <c r="AB101" i="8" s="1"/>
  <c r="AB109" i="6"/>
  <c r="AB109" i="8" s="1"/>
  <c r="Y109" i="6"/>
  <c r="Y109" i="8" s="1"/>
  <c r="BK88" i="2"/>
  <c r="AH114" i="6" l="1"/>
  <c r="AB135" i="6"/>
  <c r="AG419" i="6"/>
  <c r="W422" i="8"/>
  <c r="AG115" i="6"/>
  <c r="W118" i="8"/>
  <c r="Y139" i="6"/>
  <c r="AG571" i="6"/>
  <c r="W574" i="8"/>
  <c r="AG191" i="6"/>
  <c r="W194" i="8"/>
  <c r="AH571" i="6"/>
  <c r="Z574" i="8"/>
  <c r="AH191" i="6"/>
  <c r="Z194" i="8"/>
  <c r="AH419" i="6"/>
  <c r="Z422" i="8"/>
  <c r="AH115" i="6"/>
  <c r="Z118" i="8"/>
  <c r="AA139" i="6"/>
  <c r="AG343" i="6"/>
  <c r="W346" i="8"/>
  <c r="AH343" i="6"/>
  <c r="Z346" i="8"/>
  <c r="AB139" i="6"/>
  <c r="AA118" i="8"/>
  <c r="H135" i="8"/>
  <c r="H139" i="8"/>
  <c r="Q223" i="8"/>
  <c r="Q222" i="8"/>
  <c r="AB118" i="6"/>
  <c r="AB118" i="8" s="1"/>
  <c r="AA139" i="8" l="1"/>
  <c r="AA141" i="6"/>
  <c r="AA141" i="8" s="1"/>
  <c r="AA144" i="6"/>
  <c r="AA144" i="8" s="1"/>
  <c r="Y139" i="8"/>
  <c r="AB135" i="8"/>
  <c r="AB139" i="8"/>
  <c r="E28" i="2" l="1"/>
  <c r="F22" i="1"/>
  <c r="F42" i="1" s="1"/>
  <c r="I68" i="4" s="1"/>
  <c r="K68" i="4" s="1"/>
  <c r="G78" i="1" l="1"/>
  <c r="G74" i="1"/>
  <c r="P88" i="2"/>
  <c r="E27" i="2"/>
  <c r="G28" i="2"/>
  <c r="I28" i="2" s="1"/>
  <c r="F23" i="6" l="1"/>
  <c r="F23" i="8" s="1"/>
  <c r="G58" i="5"/>
  <c r="G27" i="2"/>
  <c r="I58" i="5" l="1"/>
  <c r="O23" i="6"/>
  <c r="X23" i="6" s="1"/>
  <c r="I27" i="2"/>
  <c r="F22" i="6"/>
  <c r="I57" i="5" l="1"/>
  <c r="O23" i="8"/>
  <c r="O22" i="6"/>
  <c r="X23" i="8"/>
  <c r="Q287" i="8"/>
  <c r="F22" i="8"/>
  <c r="Y23" i="6" l="1"/>
  <c r="Y23" i="8" s="1"/>
  <c r="X22" i="6"/>
  <c r="X22" i="8" s="1"/>
  <c r="O22" i="8"/>
  <c r="Q299" i="8"/>
  <c r="Q298" i="8"/>
  <c r="Y22" i="6" l="1"/>
  <c r="Y22" i="8" l="1"/>
  <c r="AJ68" i="5" l="1"/>
  <c r="AJ63" i="5"/>
  <c r="AJ60" i="5"/>
  <c r="AI57" i="5"/>
  <c r="AI60" i="5"/>
  <c r="AI63" i="5"/>
  <c r="AI68" i="5"/>
  <c r="AJ57" i="5"/>
  <c r="X60" i="5"/>
  <c r="AB60" i="5"/>
  <c r="W57" i="5"/>
  <c r="AA57" i="5"/>
  <c r="W60" i="5"/>
  <c r="AA60" i="5"/>
  <c r="W63" i="5"/>
  <c r="AA63" i="5"/>
  <c r="W68" i="5"/>
  <c r="AA68" i="5"/>
  <c r="X57" i="5"/>
  <c r="AB57" i="5"/>
  <c r="X68" i="5"/>
  <c r="AB68" i="5"/>
  <c r="X63" i="5"/>
  <c r="AB63" i="5"/>
  <c r="P60" i="5"/>
  <c r="O57" i="5"/>
  <c r="O60" i="5"/>
  <c r="O63" i="5"/>
  <c r="O68" i="5"/>
  <c r="P57" i="5"/>
  <c r="P68" i="5"/>
  <c r="P63" i="5"/>
  <c r="L60" i="5"/>
  <c r="K57" i="5"/>
  <c r="K60" i="5"/>
  <c r="K63" i="5"/>
  <c r="K68" i="5"/>
  <c r="L57" i="5"/>
  <c r="L68" i="5"/>
  <c r="L63" i="5"/>
  <c r="Y173" i="6" l="1"/>
  <c r="Y173" i="8" s="1"/>
  <c r="P211" i="8" l="1"/>
  <c r="R33" i="2"/>
  <c r="P287" i="8" l="1"/>
  <c r="R47" i="2"/>
  <c r="R86" i="2" s="1"/>
  <c r="N63" i="5"/>
  <c r="P299" i="8" l="1"/>
  <c r="P298" i="8"/>
  <c r="P223" i="8"/>
  <c r="P222" i="8"/>
  <c r="R88" i="2"/>
  <c r="F169" i="6"/>
  <c r="Y172" i="6"/>
  <c r="Y172" i="8" s="1"/>
  <c r="F169" i="8" l="1"/>
  <c r="Y169" i="6"/>
  <c r="X169" i="6"/>
  <c r="X169" i="8" l="1"/>
  <c r="Y169" i="8"/>
  <c r="H169" i="6" l="1"/>
  <c r="H290" i="6" l="1"/>
  <c r="V73" i="5"/>
  <c r="Q266" i="8"/>
  <c r="Q270" i="6"/>
  <c r="H169" i="8"/>
  <c r="AB290" i="6" l="1"/>
  <c r="H290" i="8"/>
  <c r="Q270" i="8"/>
  <c r="AA169" i="6"/>
  <c r="AB172" i="6"/>
  <c r="AB172" i="8" s="1"/>
  <c r="AA290" i="6" l="1"/>
  <c r="AB290" i="8"/>
  <c r="H211" i="8"/>
  <c r="AA169" i="8"/>
  <c r="P363" i="8"/>
  <c r="AB169" i="6"/>
  <c r="AA290" i="8" l="1"/>
  <c r="AB169" i="8"/>
  <c r="AB211" i="8"/>
  <c r="H223" i="8" l="1"/>
  <c r="H222" i="8"/>
  <c r="P375" i="8"/>
  <c r="P374" i="8"/>
  <c r="AH187" i="6"/>
  <c r="AB222" i="8" l="1"/>
  <c r="AB223" i="8" l="1"/>
  <c r="P439" i="8" l="1"/>
  <c r="F397" i="6"/>
  <c r="Q363" i="8"/>
  <c r="F397" i="8" l="1"/>
  <c r="P515" i="8"/>
  <c r="Y400" i="6"/>
  <c r="Y400" i="8" s="1"/>
  <c r="X397" i="6"/>
  <c r="Q375" i="8" l="1"/>
  <c r="Q374" i="8"/>
  <c r="X397" i="8"/>
  <c r="P451" i="8"/>
  <c r="P450" i="8"/>
  <c r="Y397" i="6"/>
  <c r="Y397" i="8" l="1"/>
  <c r="P527" i="8"/>
  <c r="P526" i="8"/>
  <c r="H321" i="6" l="1"/>
  <c r="H321" i="8" l="1"/>
  <c r="Q439" i="8"/>
  <c r="AB324" i="6"/>
  <c r="AB324" i="8" s="1"/>
  <c r="AA321" i="6"/>
  <c r="AA321" i="8" l="1"/>
  <c r="P591" i="8"/>
  <c r="AB321" i="6"/>
  <c r="Q418" i="8" l="1"/>
  <c r="Q422" i="6"/>
  <c r="H418" i="8"/>
  <c r="AB418" i="6"/>
  <c r="AB321" i="8"/>
  <c r="Q451" i="8"/>
  <c r="Q450" i="8"/>
  <c r="AB363" i="8"/>
  <c r="H363" i="8"/>
  <c r="P667" i="8"/>
  <c r="AA418" i="8" l="1"/>
  <c r="AB418" i="8"/>
  <c r="Q422" i="8"/>
  <c r="P603" i="8"/>
  <c r="P602" i="8"/>
  <c r="AH339" i="6" l="1"/>
  <c r="AB374" i="8"/>
  <c r="P679" i="8"/>
  <c r="P678" i="8"/>
  <c r="H375" i="8"/>
  <c r="H374" i="8"/>
  <c r="AB375" i="8" l="1"/>
  <c r="H397" i="6" l="1"/>
  <c r="H422" i="6" l="1"/>
  <c r="H397" i="8"/>
  <c r="Q515" i="8"/>
  <c r="AB400" i="6"/>
  <c r="AB400" i="8" s="1"/>
  <c r="AA397" i="6"/>
  <c r="AA422" i="6" l="1"/>
  <c r="AH418" i="6" s="1"/>
  <c r="AA397" i="8"/>
  <c r="H422" i="8"/>
  <c r="P743" i="8"/>
  <c r="AB397" i="6"/>
  <c r="AA422" i="8" l="1"/>
  <c r="AB422" i="6"/>
  <c r="AB422" i="8" s="1"/>
  <c r="AB397" i="8"/>
  <c r="H439" i="8"/>
  <c r="AH415" i="6" l="1"/>
  <c r="P755" i="8"/>
  <c r="P754" i="8"/>
  <c r="P819" i="8"/>
  <c r="Q527" i="8"/>
  <c r="Q526" i="8"/>
  <c r="AB439" i="8"/>
  <c r="H451" i="8" l="1"/>
  <c r="H450" i="8"/>
  <c r="P831" i="8"/>
  <c r="P830" i="8"/>
  <c r="AB450" i="8"/>
  <c r="AB451" i="8" l="1"/>
  <c r="Q591" i="8" l="1"/>
  <c r="Q667" i="8" l="1"/>
  <c r="H591" i="8"/>
  <c r="Q603" i="8" l="1"/>
  <c r="Q602" i="8"/>
  <c r="H570" i="8" l="1"/>
  <c r="AB570" i="6"/>
  <c r="H574" i="6"/>
  <c r="Q570" i="8"/>
  <c r="Q574" i="6"/>
  <c r="AB591" i="8"/>
  <c r="AA570" i="8" l="1"/>
  <c r="AA574" i="6"/>
  <c r="AH570" i="6" s="1"/>
  <c r="H574" i="8"/>
  <c r="Q574" i="8"/>
  <c r="H603" i="8"/>
  <c r="H602" i="8"/>
  <c r="Q679" i="8"/>
  <c r="Q678" i="8"/>
  <c r="AB667" i="8"/>
  <c r="AH567" i="6" l="1"/>
  <c r="AA574" i="8"/>
  <c r="AB570" i="8"/>
  <c r="AB574" i="6"/>
  <c r="AB574" i="8" s="1"/>
  <c r="AH643" i="6"/>
  <c r="AB602" i="8"/>
  <c r="AB603" i="8" l="1"/>
  <c r="AB678" i="8"/>
  <c r="AB679" i="8" l="1"/>
  <c r="Q743" i="8"/>
  <c r="Q819" i="8" l="1"/>
  <c r="Q755" i="8" l="1"/>
  <c r="Q754" i="8"/>
  <c r="Q722" i="8" l="1"/>
  <c r="Q831" i="8"/>
  <c r="Q830" i="8"/>
  <c r="Q726" i="6" l="1"/>
  <c r="Q726" i="8" l="1"/>
  <c r="J93" i="2" l="1"/>
  <c r="J90" i="2" l="1"/>
  <c r="J94" i="2"/>
  <c r="P70" i="6" l="1"/>
  <c r="P71" i="6" l="1"/>
  <c r="P71" i="8" s="1"/>
  <c r="P70" i="8"/>
  <c r="J91" i="2" l="1"/>
  <c r="Q64" i="6"/>
  <c r="J88" i="2"/>
  <c r="Q67" i="6" l="1"/>
  <c r="Q67" i="8" s="1"/>
  <c r="Q68" i="6"/>
  <c r="Q68" i="8" s="1"/>
  <c r="Q65" i="6"/>
  <c r="Q65" i="8" s="1"/>
  <c r="Q64" i="8"/>
  <c r="O190" i="8" l="1"/>
  <c r="O194" i="6"/>
  <c r="H88" i="2"/>
  <c r="O194" i="8" l="1"/>
  <c r="P73" i="5" l="1"/>
  <c r="R73" i="5"/>
  <c r="H214" i="6"/>
  <c r="Q190" i="8"/>
  <c r="Q194" i="6"/>
  <c r="H190" i="8"/>
  <c r="AB190" i="6"/>
  <c r="H194" i="6"/>
  <c r="H214" i="8" l="1"/>
  <c r="H212" i="8" s="1"/>
  <c r="AB214" i="6"/>
  <c r="H212" i="6"/>
  <c r="H215" i="6" s="1"/>
  <c r="AA190" i="8"/>
  <c r="AA194" i="6"/>
  <c r="AH190" i="6" s="1"/>
  <c r="Q194" i="8"/>
  <c r="H194" i="8"/>
  <c r="AA214" i="6" l="1"/>
  <c r="AB214" i="8"/>
  <c r="AB212" i="8" s="1"/>
  <c r="AB212" i="6"/>
  <c r="AB215" i="6" s="1"/>
  <c r="AA194" i="8"/>
  <c r="H215" i="8"/>
  <c r="AB194" i="6"/>
  <c r="AB194" i="8" s="1"/>
  <c r="AB190" i="8"/>
  <c r="AA212" i="6" l="1"/>
  <c r="AA215" i="6" s="1"/>
  <c r="AA214" i="8"/>
  <c r="AA212" i="8" s="1"/>
  <c r="AB215" i="8"/>
  <c r="AA217" i="6" l="1"/>
  <c r="AA217" i="8" s="1"/>
  <c r="AA220" i="6"/>
  <c r="AA220" i="8" s="1"/>
  <c r="AA215" i="8"/>
  <c r="H366" i="6" l="1"/>
  <c r="X73" i="5"/>
  <c r="Z73" i="5"/>
  <c r="Q342" i="8"/>
  <c r="Q346" i="6"/>
  <c r="H342" i="8"/>
  <c r="AB342" i="6"/>
  <c r="H346" i="6"/>
  <c r="AB366" i="6" l="1"/>
  <c r="H364" i="6"/>
  <c r="H367" i="6" s="1"/>
  <c r="H366" i="8"/>
  <c r="H364" i="8" s="1"/>
  <c r="H346" i="8"/>
  <c r="AA342" i="8"/>
  <c r="AA346" i="6"/>
  <c r="AH342" i="6" s="1"/>
  <c r="Q346" i="8"/>
  <c r="AB364" i="6" l="1"/>
  <c r="AB367" i="6" s="1"/>
  <c r="AB366" i="8"/>
  <c r="AB364" i="8" s="1"/>
  <c r="AA366" i="6"/>
  <c r="AA346" i="8"/>
  <c r="H367" i="8"/>
  <c r="AB342" i="8"/>
  <c r="AB346" i="6"/>
  <c r="AB346" i="8" s="1"/>
  <c r="AA364" i="6" l="1"/>
  <c r="AA367" i="6" s="1"/>
  <c r="AA369" i="6" s="1"/>
  <c r="AA369" i="8" s="1"/>
  <c r="AA366" i="8"/>
  <c r="AA364" i="8" s="1"/>
  <c r="AB367" i="8"/>
  <c r="AA372" i="6" l="1"/>
  <c r="AA371" i="8" s="1"/>
  <c r="AA367" i="8"/>
  <c r="AA372" i="8" l="1"/>
  <c r="H518" i="6" l="1"/>
  <c r="AH73" i="5"/>
  <c r="H518" i="8" l="1"/>
  <c r="H516" i="8" s="1"/>
  <c r="AB518" i="6"/>
  <c r="AB518" i="8" s="1"/>
  <c r="AB516" i="8" s="1"/>
  <c r="H516" i="6"/>
  <c r="Q494" i="8"/>
  <c r="Q498" i="6"/>
  <c r="AA518" i="6" l="1"/>
  <c r="AB516" i="6"/>
  <c r="Q498" i="8"/>
  <c r="AA516" i="6" l="1"/>
  <c r="AA518" i="8"/>
  <c r="AA516" i="8" s="1"/>
  <c r="AB646" i="6" l="1"/>
  <c r="Q646" i="8"/>
  <c r="Q650" i="6"/>
  <c r="AA646" i="8" l="1"/>
  <c r="AA650" i="6"/>
  <c r="AH646" i="6" s="1"/>
  <c r="Q650" i="8"/>
  <c r="AA650" i="8" l="1"/>
  <c r="AB646" i="8"/>
  <c r="Q798" i="8" l="1"/>
  <c r="Q802" i="6"/>
  <c r="Q802" i="8" l="1"/>
  <c r="H80" i="1" l="1"/>
  <c r="H83" i="1" l="1"/>
  <c r="H85" i="1" s="1"/>
  <c r="H82" i="1"/>
  <c r="F91" i="2"/>
  <c r="F93" i="2" s="1"/>
  <c r="H64" i="6"/>
  <c r="F90" i="2" l="1"/>
  <c r="F94" i="2"/>
  <c r="J62" i="4"/>
  <c r="H86" i="1"/>
  <c r="H67" i="6"/>
  <c r="H67" i="8" s="1"/>
  <c r="AB64" i="6"/>
  <c r="H65" i="6"/>
  <c r="H65" i="8" s="1"/>
  <c r="H64" i="8"/>
  <c r="H68" i="6"/>
  <c r="AB67" i="6" l="1"/>
  <c r="AB67" i="8" s="1"/>
  <c r="AB65" i="6"/>
  <c r="AB65" i="8" s="1"/>
  <c r="AB68" i="6"/>
  <c r="AB64" i="8"/>
  <c r="H70" i="6"/>
  <c r="H68" i="8"/>
  <c r="AB68" i="8" l="1"/>
  <c r="AB70" i="6"/>
  <c r="H71" i="6"/>
  <c r="H71" i="8" s="1"/>
  <c r="H70" i="8"/>
  <c r="AH35" i="6" l="1"/>
  <c r="AH41" i="6" s="1"/>
  <c r="AB70" i="8"/>
  <c r="AB71" i="6"/>
  <c r="AB71" i="8" s="1"/>
  <c r="I93" i="2"/>
  <c r="AH45" i="6" l="1"/>
  <c r="AH47" i="6"/>
  <c r="H91" i="2"/>
  <c r="H93" i="2" s="1"/>
  <c r="H94" i="2" s="1"/>
  <c r="I94" i="2"/>
  <c r="AJ50" i="6" l="1"/>
  <c r="AH50" i="6" s="1"/>
  <c r="AJ49" i="6"/>
  <c r="AH49" i="6" s="1"/>
  <c r="AJ51" i="6"/>
  <c r="AH51" i="6" s="1"/>
  <c r="H90" i="2"/>
  <c r="R93" i="2"/>
  <c r="BJ93" i="2"/>
  <c r="BK93" i="2"/>
  <c r="BE93" i="2"/>
  <c r="BA93" i="2"/>
  <c r="BF93" i="2"/>
  <c r="AZ93" i="2"/>
  <c r="AU93" i="2"/>
  <c r="AQ93" i="2"/>
  <c r="AV93" i="2"/>
  <c r="AL93" i="2"/>
  <c r="AP93" i="2"/>
  <c r="AK93" i="2"/>
  <c r="AF93" i="2"/>
  <c r="AG93" i="2"/>
  <c r="AB93" i="2"/>
  <c r="AA93" i="2"/>
  <c r="Q93" i="2"/>
  <c r="W93" i="2"/>
  <c r="V93" i="2"/>
  <c r="AH52" i="6" l="1"/>
  <c r="U85" i="2" s="1"/>
  <c r="U83" i="2" s="1"/>
  <c r="U86" i="2" s="1"/>
  <c r="BI90" i="2"/>
  <c r="BD90" i="2"/>
  <c r="AY90" i="2"/>
  <c r="AV90" i="2"/>
  <c r="H596" i="6"/>
  <c r="AB596" i="6" s="1"/>
  <c r="AL90" i="2"/>
  <c r="AJ90" i="2"/>
  <c r="AE90" i="2"/>
  <c r="AG90" i="2"/>
  <c r="AV94" i="2"/>
  <c r="BJ94" i="2"/>
  <c r="Q672" i="6"/>
  <c r="AB672" i="6" s="1"/>
  <c r="H216" i="6"/>
  <c r="BE94" i="2"/>
  <c r="AU94" i="2"/>
  <c r="AP94" i="2"/>
  <c r="AZ94" i="2"/>
  <c r="Q94" i="2"/>
  <c r="AL94" i="2"/>
  <c r="AF94" i="2"/>
  <c r="AG94" i="2"/>
  <c r="H368" i="6"/>
  <c r="H444" i="6"/>
  <c r="AK94" i="2"/>
  <c r="AV91" i="2"/>
  <c r="BA91" i="2"/>
  <c r="BA90" i="2"/>
  <c r="W91" i="2"/>
  <c r="W90" i="2"/>
  <c r="AB91" i="2"/>
  <c r="AB90" i="2"/>
  <c r="Z90" i="2"/>
  <c r="AO90" i="2"/>
  <c r="V94" i="2"/>
  <c r="R91" i="2"/>
  <c r="R90" i="2"/>
  <c r="AQ90" i="2"/>
  <c r="AQ94" i="2"/>
  <c r="BF91" i="2"/>
  <c r="BF90" i="2"/>
  <c r="BK91" i="2"/>
  <c r="BK90" i="2"/>
  <c r="AT90" i="2"/>
  <c r="BK94" i="2"/>
  <c r="BF94" i="2"/>
  <c r="BA94" i="2"/>
  <c r="AB94" i="2"/>
  <c r="W94" i="2"/>
  <c r="R94" i="2"/>
  <c r="P90" i="2"/>
  <c r="AA94" i="2"/>
  <c r="U88" i="2" l="1"/>
  <c r="U91" i="2"/>
  <c r="U93" i="2" s="1"/>
  <c r="U94" i="2" s="1"/>
  <c r="F100" i="2"/>
  <c r="U102" i="2" s="1"/>
  <c r="Q214" i="6"/>
  <c r="AH192" i="6"/>
  <c r="AH193" i="6" s="1"/>
  <c r="H369" i="6"/>
  <c r="H369" i="8" s="1"/>
  <c r="AB368" i="6"/>
  <c r="AB369" i="6" s="1"/>
  <c r="AB369" i="8" s="1"/>
  <c r="H217" i="6"/>
  <c r="H217" i="8" s="1"/>
  <c r="AB216" i="6"/>
  <c r="AB217" i="6" s="1"/>
  <c r="AB217" i="8" s="1"/>
  <c r="AB444" i="6"/>
  <c r="H599" i="6"/>
  <c r="H599" i="8" s="1"/>
  <c r="H596" i="8"/>
  <c r="AG91" i="2"/>
  <c r="U90" i="2"/>
  <c r="H447" i="6"/>
  <c r="H447" i="8" s="1"/>
  <c r="H371" i="6"/>
  <c r="H372" i="6"/>
  <c r="H219" i="6"/>
  <c r="H219" i="8" s="1"/>
  <c r="H220" i="6"/>
  <c r="H220" i="8" s="1"/>
  <c r="Q672" i="8"/>
  <c r="Q675" i="6"/>
  <c r="Q675" i="8" s="1"/>
  <c r="H444" i="8"/>
  <c r="H216" i="8"/>
  <c r="H140" i="6"/>
  <c r="H368" i="8"/>
  <c r="P91" i="2"/>
  <c r="P93" i="2" s="1"/>
  <c r="P94" i="2" s="1"/>
  <c r="AH197" i="6" l="1"/>
  <c r="AH199" i="6"/>
  <c r="Q212" i="6"/>
  <c r="Q215" i="6" s="1"/>
  <c r="Q214" i="8"/>
  <c r="Q212" i="8" s="1"/>
  <c r="H141" i="6"/>
  <c r="H141" i="8" s="1"/>
  <c r="AB140" i="6"/>
  <c r="AB141" i="6" s="1"/>
  <c r="AB141" i="8" s="1"/>
  <c r="H371" i="8"/>
  <c r="H372" i="8"/>
  <c r="AB599" i="6"/>
  <c r="AB599" i="8" s="1"/>
  <c r="AB596" i="8"/>
  <c r="H140" i="8"/>
  <c r="H143" i="6"/>
  <c r="H143" i="8" s="1"/>
  <c r="H144" i="6"/>
  <c r="AB368" i="8"/>
  <c r="AB371" i="6"/>
  <c r="AB372" i="6"/>
  <c r="AB219" i="6"/>
  <c r="AB219" i="8" s="1"/>
  <c r="AB220" i="6"/>
  <c r="AB220" i="8" s="1"/>
  <c r="AB444" i="8"/>
  <c r="AB447" i="6"/>
  <c r="AB447" i="8" s="1"/>
  <c r="AB216" i="8"/>
  <c r="H144" i="8" l="1"/>
  <c r="H146" i="6"/>
  <c r="Q217" i="6"/>
  <c r="Q217" i="8" s="1"/>
  <c r="Q220" i="6"/>
  <c r="Q220" i="8" s="1"/>
  <c r="Q215" i="8"/>
  <c r="AJ201" i="6"/>
  <c r="AJ203" i="6"/>
  <c r="AH203" i="6" s="1"/>
  <c r="AH201" i="6"/>
  <c r="AJ202" i="6"/>
  <c r="AH202" i="6" s="1"/>
  <c r="AB371" i="8"/>
  <c r="AB372" i="8"/>
  <c r="AB143" i="6"/>
  <c r="AB143" i="8" s="1"/>
  <c r="AB144" i="6"/>
  <c r="AB140" i="8"/>
  <c r="AH204" i="6" l="1"/>
  <c r="AE85" i="2" s="1"/>
  <c r="AE83" i="2" s="1"/>
  <c r="AE86" i="2" s="1"/>
  <c r="AB144" i="8"/>
  <c r="AB146" i="6"/>
  <c r="H147" i="6"/>
  <c r="H147" i="8" s="1"/>
  <c r="H146" i="8"/>
  <c r="E67" i="1"/>
  <c r="G79" i="1" s="1"/>
  <c r="T74" i="2"/>
  <c r="U100" i="2" l="1"/>
  <c r="AE102" i="2" s="1"/>
  <c r="AE88" i="2"/>
  <c r="AE91" i="2"/>
  <c r="AE93" i="2" s="1"/>
  <c r="AE94" i="2" s="1"/>
  <c r="Q366" i="6"/>
  <c r="AH344" i="6"/>
  <c r="AH345" i="6" s="1"/>
  <c r="AB147" i="6"/>
  <c r="AB147" i="8" s="1"/>
  <c r="AH111" i="6"/>
  <c r="AH117" i="6" s="1"/>
  <c r="AB146" i="8"/>
  <c r="T87" i="2"/>
  <c r="BH74" i="2"/>
  <c r="O74" i="2"/>
  <c r="AN74" i="2"/>
  <c r="AZ74" i="2"/>
  <c r="AF74" i="2"/>
  <c r="AD74" i="2"/>
  <c r="AX74" i="2"/>
  <c r="BJ74" i="2"/>
  <c r="AP74" i="2"/>
  <c r="E87" i="2"/>
  <c r="BE74" i="2"/>
  <c r="AU74" i="2"/>
  <c r="AK74" i="2"/>
  <c r="Y74" i="2"/>
  <c r="BC74" i="2"/>
  <c r="AS74" i="2"/>
  <c r="AI74" i="2"/>
  <c r="V74" i="2"/>
  <c r="G80" i="1"/>
  <c r="G82" i="1"/>
  <c r="G83" i="1"/>
  <c r="G85" i="1" s="1"/>
  <c r="Q74" i="2"/>
  <c r="AA74" i="2"/>
  <c r="AH121" i="6" l="1"/>
  <c r="AH123" i="6"/>
  <c r="Q364" i="6"/>
  <c r="Q367" i="6" s="1"/>
  <c r="Q366" i="8"/>
  <c r="Q364" i="8" s="1"/>
  <c r="AH351" i="6"/>
  <c r="AH349" i="6"/>
  <c r="G87" i="2"/>
  <c r="BC87" i="2"/>
  <c r="AD87" i="2"/>
  <c r="O87" i="2"/>
  <c r="V87" i="2"/>
  <c r="V88" i="2" s="1"/>
  <c r="BE87" i="2"/>
  <c r="AP87" i="2"/>
  <c r="AP90" i="2" s="1"/>
  <c r="AF87" i="2"/>
  <c r="BH87" i="2"/>
  <c r="AA87" i="2"/>
  <c r="P292" i="6" s="1"/>
  <c r="P292" i="8" s="1"/>
  <c r="AU87" i="2"/>
  <c r="Q87" i="2"/>
  <c r="Q88" i="2" s="1"/>
  <c r="AI87" i="2"/>
  <c r="Y87" i="2"/>
  <c r="Y292" i="6" s="1"/>
  <c r="Y292" i="8" s="1"/>
  <c r="BJ87" i="2"/>
  <c r="AZ87" i="2"/>
  <c r="AS87" i="2"/>
  <c r="AK87" i="2"/>
  <c r="P444" i="6" s="1"/>
  <c r="P444" i="8" s="1"/>
  <c r="AX87" i="2"/>
  <c r="AN87" i="2"/>
  <c r="Y520" i="6" s="1"/>
  <c r="Y520" i="8" s="1"/>
  <c r="I87" i="2"/>
  <c r="Y444" i="6"/>
  <c r="Y447" i="6" s="1"/>
  <c r="Y447" i="8" s="1"/>
  <c r="P748" i="6"/>
  <c r="P748" i="8" s="1"/>
  <c r="P520" i="6"/>
  <c r="G64" i="6"/>
  <c r="E90" i="2"/>
  <c r="G86" i="1"/>
  <c r="I62" i="4"/>
  <c r="K62" i="4" s="1"/>
  <c r="AZ91" i="2" l="1"/>
  <c r="AZ88" i="2"/>
  <c r="Y824" i="6"/>
  <c r="Y827" i="6" s="1"/>
  <c r="Y827" i="8" s="1"/>
  <c r="BJ88" i="2"/>
  <c r="P596" i="6"/>
  <c r="P599" i="6" s="1"/>
  <c r="P599" i="8" s="1"/>
  <c r="AU88" i="2"/>
  <c r="AF90" i="2"/>
  <c r="AF88" i="2"/>
  <c r="BE91" i="2"/>
  <c r="BE88" i="2"/>
  <c r="Q372" i="6"/>
  <c r="Q369" i="6"/>
  <c r="Q369" i="8" s="1"/>
  <c r="Q367" i="8"/>
  <c r="AJ126" i="6"/>
  <c r="AH126" i="6" s="1"/>
  <c r="AJ127" i="6"/>
  <c r="AH127" i="6" s="1"/>
  <c r="AJ125" i="6"/>
  <c r="AH125" i="6" s="1"/>
  <c r="AJ354" i="6"/>
  <c r="AH354" i="6" s="1"/>
  <c r="AJ355" i="6"/>
  <c r="AH355" i="6" s="1"/>
  <c r="AJ353" i="6"/>
  <c r="AH353" i="6" s="1"/>
  <c r="Y748" i="6"/>
  <c r="Y748" i="8" s="1"/>
  <c r="P824" i="6"/>
  <c r="P827" i="6" s="1"/>
  <c r="P827" i="8" s="1"/>
  <c r="BE90" i="2"/>
  <c r="AA90" i="2"/>
  <c r="AK90" i="2"/>
  <c r="P295" i="6"/>
  <c r="P295" i="8" s="1"/>
  <c r="AU90" i="2"/>
  <c r="P447" i="6"/>
  <c r="P447" i="8" s="1"/>
  <c r="AZ90" i="2"/>
  <c r="AU91" i="2"/>
  <c r="BJ91" i="2"/>
  <c r="BJ90" i="2"/>
  <c r="Y368" i="6"/>
  <c r="Y371" i="6" s="1"/>
  <c r="P368" i="6"/>
  <c r="P368" i="8" s="1"/>
  <c r="P596" i="8"/>
  <c r="Y523" i="6"/>
  <c r="Y523" i="8" s="1"/>
  <c r="AF91" i="2"/>
  <c r="Y140" i="6"/>
  <c r="Q91" i="2"/>
  <c r="Q90" i="2"/>
  <c r="P140" i="6"/>
  <c r="G90" i="2"/>
  <c r="Y596" i="6"/>
  <c r="P216" i="6"/>
  <c r="Y216" i="6"/>
  <c r="Y219" i="6" s="1"/>
  <c r="Y219" i="8" s="1"/>
  <c r="V90" i="2"/>
  <c r="V91" i="2"/>
  <c r="Y672" i="6"/>
  <c r="Y675" i="6" s="1"/>
  <c r="Y675" i="8" s="1"/>
  <c r="Y64" i="6"/>
  <c r="I90" i="2"/>
  <c r="P64" i="6"/>
  <c r="Z64" i="6" s="1"/>
  <c r="Y444" i="8"/>
  <c r="P141" i="6"/>
  <c r="P141" i="8" s="1"/>
  <c r="Y295" i="6"/>
  <c r="Y295" i="8" s="1"/>
  <c r="Y824" i="8"/>
  <c r="P751" i="6"/>
  <c r="P751" i="8" s="1"/>
  <c r="P523" i="6"/>
  <c r="P523" i="8" s="1"/>
  <c r="P520" i="8"/>
  <c r="G67" i="6"/>
  <c r="G67" i="8" s="1"/>
  <c r="G64" i="8"/>
  <c r="AH128" i="6" l="1"/>
  <c r="P100" i="2" s="1"/>
  <c r="Z102" i="2" s="1"/>
  <c r="AH356" i="6"/>
  <c r="Q372" i="8"/>
  <c r="Q371" i="8"/>
  <c r="P824" i="8"/>
  <c r="P140" i="8"/>
  <c r="Y751" i="6"/>
  <c r="Y751" i="8" s="1"/>
  <c r="Y143" i="6"/>
  <c r="Y143" i="8" s="1"/>
  <c r="Y141" i="6"/>
  <c r="Y141" i="8" s="1"/>
  <c r="Y67" i="6"/>
  <c r="Y67" i="8" s="1"/>
  <c r="Y144" i="6"/>
  <c r="Y144" i="8" s="1"/>
  <c r="Y140" i="8"/>
  <c r="P371" i="6"/>
  <c r="Y368" i="8"/>
  <c r="Y216" i="8"/>
  <c r="P143" i="6"/>
  <c r="P143" i="8" s="1"/>
  <c r="P144" i="6"/>
  <c r="P144" i="8" s="1"/>
  <c r="Y596" i="8"/>
  <c r="Y599" i="6"/>
  <c r="Y599" i="8" s="1"/>
  <c r="Z64" i="8"/>
  <c r="P219" i="6"/>
  <c r="P219" i="8" s="1"/>
  <c r="P216" i="8"/>
  <c r="Y64" i="8"/>
  <c r="Y672" i="8"/>
  <c r="P64" i="8"/>
  <c r="P67" i="6"/>
  <c r="P67" i="8" s="1"/>
  <c r="G140" i="6"/>
  <c r="Z140" i="6" s="1"/>
  <c r="O88" i="2"/>
  <c r="O90" i="2"/>
  <c r="O91" i="2"/>
  <c r="O93" i="2" s="1"/>
  <c r="O94" i="2" s="1"/>
  <c r="Z85" i="2" l="1"/>
  <c r="Z83" i="2" s="1"/>
  <c r="Z86" i="2" s="1"/>
  <c r="AO85" i="2"/>
  <c r="AE100" i="2"/>
  <c r="AO102" i="2" s="1"/>
  <c r="Q290" i="6"/>
  <c r="AH268" i="6"/>
  <c r="Z88" i="2"/>
  <c r="Z91" i="2"/>
  <c r="Z93" i="2" s="1"/>
  <c r="Z94" i="2" s="1"/>
  <c r="Z67" i="6"/>
  <c r="Z67" i="8" s="1"/>
  <c r="G143" i="6"/>
  <c r="G143" i="8" s="1"/>
  <c r="G140" i="8"/>
  <c r="Q288" i="6" l="1"/>
  <c r="Q291" i="6" s="1"/>
  <c r="Q290" i="8"/>
  <c r="Q288" i="8" s="1"/>
  <c r="Q518" i="6"/>
  <c r="AH496" i="6"/>
  <c r="AQ85" i="2"/>
  <c r="AQ83" i="2" s="1"/>
  <c r="AQ86" i="2" s="1"/>
  <c r="AO83" i="2"/>
  <c r="AO86" i="2" s="1"/>
  <c r="Z143" i="6"/>
  <c r="Z143" i="8" s="1"/>
  <c r="Z140" i="8"/>
  <c r="Q516" i="6" l="1"/>
  <c r="Q519" i="6" s="1"/>
  <c r="Q518" i="8"/>
  <c r="Q516" i="8" s="1"/>
  <c r="AO88" i="2"/>
  <c r="AO91" i="2"/>
  <c r="AO93" i="2" s="1"/>
  <c r="AO94" i="2" s="1"/>
  <c r="AQ88" i="2"/>
  <c r="AQ91" i="2"/>
  <c r="Q296" i="6"/>
  <c r="Q296" i="8" s="1"/>
  <c r="Q293" i="6"/>
  <c r="Q293" i="8" s="1"/>
  <c r="Q291" i="8"/>
  <c r="F194" i="6"/>
  <c r="F190" i="8"/>
  <c r="Q524" i="6" l="1"/>
  <c r="Q524" i="8" s="1"/>
  <c r="Q521" i="6"/>
  <c r="Q521" i="8" s="1"/>
  <c r="Q519" i="8"/>
  <c r="O266" i="8"/>
  <c r="O270" i="6"/>
  <c r="X194" i="6"/>
  <c r="AG190" i="6" s="1"/>
  <c r="X190" i="8"/>
  <c r="Y190" i="6"/>
  <c r="F194" i="8"/>
  <c r="G211" i="6"/>
  <c r="G211" i="8" s="1"/>
  <c r="O270" i="8" l="1"/>
  <c r="Z211" i="6"/>
  <c r="Z211" i="8" s="1"/>
  <c r="X194" i="8"/>
  <c r="Y194" i="6"/>
  <c r="Y194" i="8" s="1"/>
  <c r="Y190" i="8"/>
  <c r="G216" i="6" l="1"/>
  <c r="Z216" i="6" s="1"/>
  <c r="T90" i="2"/>
  <c r="G216" i="8" l="1"/>
  <c r="G219" i="6"/>
  <c r="G219" i="8" s="1"/>
  <c r="Z219" i="6" l="1"/>
  <c r="Z219" i="8" s="1"/>
  <c r="Z216" i="8"/>
  <c r="G222" i="6"/>
  <c r="G223" i="6" s="1"/>
  <c r="G223" i="8" l="1"/>
  <c r="G222" i="8"/>
  <c r="O342" i="8" l="1"/>
  <c r="O346" i="6"/>
  <c r="F346" i="6"/>
  <c r="F342" i="8"/>
  <c r="O346" i="8" l="1"/>
  <c r="G363" i="6"/>
  <c r="G363" i="8" s="1"/>
  <c r="F346" i="8"/>
  <c r="Y342" i="6"/>
  <c r="X346" i="6"/>
  <c r="AG342" i="6" s="1"/>
  <c r="X342" i="8"/>
  <c r="Y346" i="6" l="1"/>
  <c r="Y346" i="8" s="1"/>
  <c r="Y342" i="8"/>
  <c r="Z363" i="6"/>
  <c r="Z363" i="8" s="1"/>
  <c r="X346" i="8"/>
  <c r="Y90" i="2" l="1"/>
  <c r="O422" i="6" l="1"/>
  <c r="O418" i="8"/>
  <c r="F422" i="6"/>
  <c r="F418" i="8"/>
  <c r="O422" i="8" l="1"/>
  <c r="G439" i="6"/>
  <c r="G439" i="8" s="1"/>
  <c r="F422" i="8"/>
  <c r="Y418" i="6"/>
  <c r="X422" i="6"/>
  <c r="AG418" i="6" s="1"/>
  <c r="X418" i="8"/>
  <c r="Y422" i="6" l="1"/>
  <c r="Y422" i="8" s="1"/>
  <c r="Y418" i="8"/>
  <c r="Z439" i="6"/>
  <c r="Z439" i="8" s="1"/>
  <c r="X422" i="8"/>
  <c r="G368" i="6" l="1"/>
  <c r="Z368" i="6" s="1"/>
  <c r="AD90" i="2"/>
  <c r="Z371" i="6" l="1"/>
  <c r="G368" i="8"/>
  <c r="G371" i="6"/>
  <c r="Z368" i="8" l="1"/>
  <c r="G374" i="6"/>
  <c r="G375" i="6" s="1"/>
  <c r="Z374" i="6" l="1"/>
  <c r="Z375" i="6" s="1"/>
  <c r="G375" i="8"/>
  <c r="G374" i="8"/>
  <c r="AG339" i="6" l="1"/>
  <c r="Z374" i="8"/>
  <c r="Z375" i="8" l="1"/>
  <c r="O494" i="8" l="1"/>
  <c r="O498" i="6"/>
  <c r="G444" i="6"/>
  <c r="Z444" i="6" s="1"/>
  <c r="AI90" i="2"/>
  <c r="O498" i="8" l="1"/>
  <c r="G444" i="8"/>
  <c r="G447" i="6"/>
  <c r="G447" i="8" s="1"/>
  <c r="Z444" i="8" l="1"/>
  <c r="Z447" i="6"/>
  <c r="Z447" i="8" s="1"/>
  <c r="G450" i="6"/>
  <c r="G451" i="6" s="1"/>
  <c r="G451" i="8" l="1"/>
  <c r="G450" i="8"/>
  <c r="O570" i="8" l="1"/>
  <c r="O574" i="6"/>
  <c r="F570" i="8"/>
  <c r="F574" i="6"/>
  <c r="O574" i="8" l="1"/>
  <c r="F574" i="8"/>
  <c r="G591" i="6"/>
  <c r="G591" i="8" s="1"/>
  <c r="Y570" i="6"/>
  <c r="X570" i="8"/>
  <c r="X574" i="6"/>
  <c r="AG570" i="6" s="1"/>
  <c r="Y574" i="6" l="1"/>
  <c r="Y574" i="8" s="1"/>
  <c r="Y570" i="8"/>
  <c r="X574" i="8"/>
  <c r="Z591" i="6"/>
  <c r="Z591" i="8" s="1"/>
  <c r="AN90" i="2" l="1"/>
  <c r="O646" i="8" l="1"/>
  <c r="O650" i="6"/>
  <c r="O650" i="8" l="1"/>
  <c r="Y646" i="6"/>
  <c r="X650" i="6"/>
  <c r="AG646" i="6" s="1"/>
  <c r="X646" i="8"/>
  <c r="Y646" i="8" l="1"/>
  <c r="X650" i="8"/>
  <c r="Z667" i="6"/>
  <c r="Z667" i="8" s="1"/>
  <c r="G596" i="6" l="1"/>
  <c r="Z596" i="6" s="1"/>
  <c r="AS90" i="2"/>
  <c r="G599" i="6" l="1"/>
  <c r="G599" i="8" s="1"/>
  <c r="G596" i="8"/>
  <c r="Z596" i="8"/>
  <c r="Z599" i="6"/>
  <c r="Z599" i="8" s="1"/>
  <c r="Z602" i="6" l="1"/>
  <c r="Z603" i="6" s="1"/>
  <c r="G602" i="6"/>
  <c r="G603" i="6" s="1"/>
  <c r="G602" i="8" l="1"/>
  <c r="G603" i="8"/>
  <c r="AG567" i="6"/>
  <c r="Z602" i="8"/>
  <c r="Z603" i="8" l="1"/>
  <c r="O722" i="8" l="1"/>
  <c r="O726" i="6"/>
  <c r="O726" i="8" l="1"/>
  <c r="P672" i="6" l="1"/>
  <c r="AX90" i="2"/>
  <c r="P675" i="6" l="1"/>
  <c r="P675" i="8" s="1"/>
  <c r="Z672" i="6"/>
  <c r="P672" i="8"/>
  <c r="AB672" i="8" l="1"/>
  <c r="AB675" i="6"/>
  <c r="AB675" i="8" s="1"/>
  <c r="Z675" i="6"/>
  <c r="Z675" i="8" s="1"/>
  <c r="Z672" i="8"/>
  <c r="Z678" i="6"/>
  <c r="Z679" i="6" s="1"/>
  <c r="AG643" i="6" l="1"/>
  <c r="Z678" i="8"/>
  <c r="Z679" i="8" l="1"/>
  <c r="O798" i="8" l="1"/>
  <c r="O802" i="6"/>
  <c r="O802" i="8" l="1"/>
  <c r="BC90" i="2"/>
  <c r="BH90" i="2" l="1"/>
  <c r="F103" i="6" l="1"/>
  <c r="F103" i="8" l="1"/>
  <c r="X103" i="6"/>
  <c r="F101" i="6"/>
  <c r="F118" i="6" l="1"/>
  <c r="G135" i="6" s="1"/>
  <c r="G135" i="8" s="1"/>
  <c r="F101" i="8"/>
  <c r="X101" i="6"/>
  <c r="X103" i="8"/>
  <c r="Y103" i="6"/>
  <c r="F118" i="8" l="1"/>
  <c r="G139" i="6"/>
  <c r="Y101" i="6"/>
  <c r="Y103" i="8"/>
  <c r="X118" i="6"/>
  <c r="Z135" i="6" s="1"/>
  <c r="Z135" i="8" s="1"/>
  <c r="X101" i="8"/>
  <c r="G141" i="6" l="1"/>
  <c r="G141" i="8" s="1"/>
  <c r="G139" i="8"/>
  <c r="G144" i="6"/>
  <c r="AG114" i="6"/>
  <c r="Z139" i="6"/>
  <c r="X118" i="8"/>
  <c r="Y101" i="8"/>
  <c r="Y118" i="6"/>
  <c r="Y118" i="8" s="1"/>
  <c r="G144" i="8" l="1"/>
  <c r="G146" i="6"/>
  <c r="Z144" i="6"/>
  <c r="Z139" i="8"/>
  <c r="Z141" i="6"/>
  <c r="Z141" i="8" s="1"/>
  <c r="Z144" i="8" l="1"/>
  <c r="Z146" i="6"/>
  <c r="G147" i="6"/>
  <c r="G147" i="8" s="1"/>
  <c r="G146" i="8"/>
  <c r="AG111" i="6" l="1"/>
  <c r="AG117" i="6" s="1"/>
  <c r="Z147" i="6"/>
  <c r="Z147" i="8" s="1"/>
  <c r="Z146" i="8"/>
  <c r="AG123" i="6" l="1"/>
  <c r="AG121" i="6"/>
  <c r="AI125" i="6" l="1"/>
  <c r="AG125" i="6" s="1"/>
  <c r="AI127" i="6"/>
  <c r="AG127" i="6" s="1"/>
  <c r="AI126" i="6"/>
  <c r="AG126" i="6" s="1"/>
  <c r="G290" i="6"/>
  <c r="U73" i="5"/>
  <c r="AG128" i="6" l="1"/>
  <c r="G290" i="8"/>
  <c r="Z290" i="6"/>
  <c r="Z290" i="8" s="1"/>
  <c r="Y85" i="2" l="1"/>
  <c r="O100" i="2"/>
  <c r="Y102" i="2" s="1"/>
  <c r="Y290" i="6"/>
  <c r="P290" i="6" l="1"/>
  <c r="AG268" i="6"/>
  <c r="AA83" i="2"/>
  <c r="AA86" i="2" s="1"/>
  <c r="Y83" i="2"/>
  <c r="Y86" i="2" s="1"/>
  <c r="Y290" i="8"/>
  <c r="Y88" i="2" l="1"/>
  <c r="Y91" i="2"/>
  <c r="Y93" i="2" s="1"/>
  <c r="Y94" i="2" s="1"/>
  <c r="AA88" i="2"/>
  <c r="AA91" i="2"/>
  <c r="P288" i="6"/>
  <c r="P291" i="6" s="1"/>
  <c r="P290" i="8"/>
  <c r="P288" i="8" s="1"/>
  <c r="Z450" i="6"/>
  <c r="Z451" i="6" s="1"/>
  <c r="P293" i="6" l="1"/>
  <c r="P293" i="8" s="1"/>
  <c r="P296" i="6"/>
  <c r="P296" i="8" s="1"/>
  <c r="P291" i="8"/>
  <c r="AG415" i="6"/>
  <c r="Z450" i="8"/>
  <c r="Z451" i="8" l="1"/>
  <c r="H737" i="6" l="1"/>
  <c r="AA737" i="6" s="1"/>
  <c r="H720" i="6"/>
  <c r="H713" i="6"/>
  <c r="H704" i="6"/>
  <c r="F737" i="6"/>
  <c r="F731" i="6"/>
  <c r="AQ69" i="5"/>
  <c r="F702" i="6"/>
  <c r="X702" i="6" s="1"/>
  <c r="H735" i="6"/>
  <c r="H724" i="6"/>
  <c r="AA724" i="6" s="1"/>
  <c r="H718" i="6"/>
  <c r="H710" i="6"/>
  <c r="H736" i="6"/>
  <c r="H734" i="6"/>
  <c r="AA734" i="6" s="1"/>
  <c r="H732" i="6"/>
  <c r="H723" i="6"/>
  <c r="H721" i="6"/>
  <c r="AA721" i="6" s="1"/>
  <c r="H719" i="6"/>
  <c r="H716" i="6"/>
  <c r="H714" i="6"/>
  <c r="H711" i="6"/>
  <c r="H708" i="6"/>
  <c r="AA708" i="6" s="1"/>
  <c r="H705" i="6"/>
  <c r="AA705" i="6" s="1"/>
  <c r="H703" i="6"/>
  <c r="H733" i="6"/>
  <c r="H722" i="6"/>
  <c r="H715" i="6"/>
  <c r="AA715" i="6" s="1"/>
  <c r="H707" i="6"/>
  <c r="AA707" i="6" s="1"/>
  <c r="F736" i="6"/>
  <c r="X736" i="6" s="1"/>
  <c r="F730" i="6"/>
  <c r="X730" i="6" s="1"/>
  <c r="F703" i="6"/>
  <c r="X703" i="6" s="1"/>
  <c r="AQ74" i="5"/>
  <c r="F723" i="6"/>
  <c r="X723" i="6" s="1"/>
  <c r="F721" i="6"/>
  <c r="X721" i="6" s="1"/>
  <c r="AQ72" i="5"/>
  <c r="AQ70" i="5"/>
  <c r="F719" i="6"/>
  <c r="X719" i="6" s="1"/>
  <c r="AQ66" i="5"/>
  <c r="F715" i="6"/>
  <c r="X715" i="6" s="1"/>
  <c r="AQ64" i="5"/>
  <c r="F713" i="6"/>
  <c r="X713" i="6" s="1"/>
  <c r="AQ76" i="5"/>
  <c r="F711" i="6"/>
  <c r="X711" i="6" s="1"/>
  <c r="AQ62" i="5"/>
  <c r="F707" i="6"/>
  <c r="X707" i="6" s="1"/>
  <c r="AQ58" i="5"/>
  <c r="AQ56" i="5"/>
  <c r="F705" i="6"/>
  <c r="X705" i="6" s="1"/>
  <c r="AQ75" i="5"/>
  <c r="F724" i="6"/>
  <c r="X724" i="6" s="1"/>
  <c r="F722" i="6"/>
  <c r="X722" i="6" s="1"/>
  <c r="AQ71" i="5"/>
  <c r="F720" i="6"/>
  <c r="X720" i="6" s="1"/>
  <c r="F716" i="6"/>
  <c r="X716" i="6" s="1"/>
  <c r="AQ67" i="5"/>
  <c r="F714" i="6"/>
  <c r="X714" i="6" s="1"/>
  <c r="AQ65" i="5"/>
  <c r="F710" i="6"/>
  <c r="X710" i="6" s="1"/>
  <c r="AQ61" i="5"/>
  <c r="F708" i="6"/>
  <c r="X708" i="6" s="1"/>
  <c r="AQ59" i="5"/>
  <c r="AQ55" i="5"/>
  <c r="F704" i="6"/>
  <c r="X704" i="6" s="1"/>
  <c r="H703" i="8" l="1"/>
  <c r="AA703" i="6"/>
  <c r="H732" i="8"/>
  <c r="AA732" i="6"/>
  <c r="AB743" i="6" s="1"/>
  <c r="AB743" i="8" s="1"/>
  <c r="H718" i="8"/>
  <c r="AA718" i="6"/>
  <c r="AB718" i="6" s="1"/>
  <c r="H733" i="8"/>
  <c r="AA733" i="6"/>
  <c r="AA733" i="8" s="1"/>
  <c r="H736" i="8"/>
  <c r="AA736" i="6"/>
  <c r="H735" i="8"/>
  <c r="AA735" i="6"/>
  <c r="AA735" i="8" s="1"/>
  <c r="H723" i="8"/>
  <c r="AA723" i="6"/>
  <c r="AA723" i="8" s="1"/>
  <c r="AA716" i="6"/>
  <c r="AA716" i="8" s="1"/>
  <c r="H713" i="8"/>
  <c r="AA713" i="6"/>
  <c r="AA713" i="8" s="1"/>
  <c r="H714" i="8"/>
  <c r="AA714" i="6"/>
  <c r="H710" i="8"/>
  <c r="AA710" i="6"/>
  <c r="H704" i="8"/>
  <c r="AA704" i="6"/>
  <c r="AB704" i="6" s="1"/>
  <c r="AB704" i="8" s="1"/>
  <c r="H722" i="8"/>
  <c r="AA722" i="6"/>
  <c r="AB722" i="6" s="1"/>
  <c r="AB722" i="8" s="1"/>
  <c r="H719" i="8"/>
  <c r="AA719" i="6"/>
  <c r="AB719" i="6" s="1"/>
  <c r="AB719" i="8" s="1"/>
  <c r="H720" i="8"/>
  <c r="AA720" i="6"/>
  <c r="AA720" i="8" s="1"/>
  <c r="H711" i="8"/>
  <c r="AA711" i="6"/>
  <c r="AA711" i="8" s="1"/>
  <c r="F731" i="8"/>
  <c r="X731" i="6"/>
  <c r="X731" i="8" s="1"/>
  <c r="F737" i="8"/>
  <c r="X737" i="6"/>
  <c r="Y737" i="6" s="1"/>
  <c r="Y737" i="8" s="1"/>
  <c r="H721" i="8"/>
  <c r="F730" i="8"/>
  <c r="AA736" i="8"/>
  <c r="Z714" i="6"/>
  <c r="Z714" i="8" s="1"/>
  <c r="H737" i="8"/>
  <c r="G753" i="6"/>
  <c r="G754" i="6" s="1"/>
  <c r="G755" i="6" s="1"/>
  <c r="F703" i="8"/>
  <c r="F702" i="8"/>
  <c r="H716" i="8"/>
  <c r="G743" i="6"/>
  <c r="G743" i="8" s="1"/>
  <c r="F736" i="8"/>
  <c r="Z716" i="6"/>
  <c r="H708" i="8"/>
  <c r="H706" i="6"/>
  <c r="H706" i="8" s="1"/>
  <c r="H707" i="8"/>
  <c r="H717" i="6"/>
  <c r="H717" i="8" s="1"/>
  <c r="H753" i="6"/>
  <c r="H754" i="6" s="1"/>
  <c r="H755" i="6" s="1"/>
  <c r="H724" i="8"/>
  <c r="H705" i="8"/>
  <c r="H715" i="8"/>
  <c r="H709" i="6"/>
  <c r="H709" i="8" s="1"/>
  <c r="H701" i="6"/>
  <c r="H701" i="8" s="1"/>
  <c r="H734" i="8"/>
  <c r="H712" i="6"/>
  <c r="H712" i="8" s="1"/>
  <c r="AQ57" i="5"/>
  <c r="H743" i="6"/>
  <c r="H743" i="8" s="1"/>
  <c r="AQ60" i="5"/>
  <c r="AQ63" i="5"/>
  <c r="AQ68" i="5"/>
  <c r="G748" i="6"/>
  <c r="Z748" i="6" s="1"/>
  <c r="F720" i="8"/>
  <c r="F724" i="8"/>
  <c r="Z753" i="6"/>
  <c r="Y730" i="6"/>
  <c r="Y730" i="8" s="1"/>
  <c r="X730" i="8"/>
  <c r="Z743" i="6"/>
  <c r="Z743" i="8" s="1"/>
  <c r="AB708" i="6"/>
  <c r="AB708" i="8" s="1"/>
  <c r="AA708" i="8"/>
  <c r="AB724" i="6"/>
  <c r="AB724" i="8" s="1"/>
  <c r="AA724" i="8"/>
  <c r="F705" i="8"/>
  <c r="F719" i="8"/>
  <c r="F717" i="6"/>
  <c r="F717" i="8" s="1"/>
  <c r="F723" i="8"/>
  <c r="F704" i="8"/>
  <c r="X702" i="8"/>
  <c r="Y702" i="6"/>
  <c r="W714" i="6"/>
  <c r="F714" i="8"/>
  <c r="X714" i="8"/>
  <c r="F711" i="8"/>
  <c r="F715" i="8"/>
  <c r="AB707" i="6"/>
  <c r="AA707" i="8"/>
  <c r="AA706" i="6"/>
  <c r="AA706" i="8" s="1"/>
  <c r="AA715" i="8"/>
  <c r="AB715" i="6"/>
  <c r="AB715" i="8" s="1"/>
  <c r="AB721" i="6"/>
  <c r="AB721" i="8" s="1"/>
  <c r="AA721" i="8"/>
  <c r="H748" i="6"/>
  <c r="AB748" i="6" s="1"/>
  <c r="F701" i="6"/>
  <c r="F710" i="8"/>
  <c r="F709" i="6"/>
  <c r="F709" i="8" s="1"/>
  <c r="AB734" i="6"/>
  <c r="AB734" i="8" s="1"/>
  <c r="AA734" i="8"/>
  <c r="AA737" i="8"/>
  <c r="AB737" i="6"/>
  <c r="AB737" i="8" s="1"/>
  <c r="F708" i="8"/>
  <c r="W716" i="6"/>
  <c r="X716" i="8"/>
  <c r="F716" i="8"/>
  <c r="F722" i="8"/>
  <c r="Y736" i="6"/>
  <c r="Y736" i="8" s="1"/>
  <c r="X736" i="8"/>
  <c r="Y703" i="6"/>
  <c r="Y703" i="8" s="1"/>
  <c r="X703" i="8"/>
  <c r="F707" i="8"/>
  <c r="F706" i="6"/>
  <c r="F706" i="8" s="1"/>
  <c r="F712" i="6"/>
  <c r="F712" i="8" s="1"/>
  <c r="F713" i="8"/>
  <c r="F721" i="8"/>
  <c r="AB705" i="6"/>
  <c r="AB705" i="8" s="1"/>
  <c r="AA705" i="8"/>
  <c r="AB713" i="6"/>
  <c r="AB735" i="6" l="1"/>
  <c r="AB735" i="8" s="1"/>
  <c r="AA704" i="8"/>
  <c r="AB716" i="6"/>
  <c r="AB716" i="8" s="1"/>
  <c r="X737" i="8"/>
  <c r="AA701" i="6"/>
  <c r="AA701" i="8" s="1"/>
  <c r="AA732" i="8"/>
  <c r="AB753" i="6"/>
  <c r="AH721" i="6" s="1"/>
  <c r="AB732" i="6"/>
  <c r="AB732" i="8" s="1"/>
  <c r="AB733" i="6"/>
  <c r="AB733" i="8" s="1"/>
  <c r="Y731" i="6"/>
  <c r="Y731" i="8" s="1"/>
  <c r="AB736" i="6"/>
  <c r="AB736" i="8" s="1"/>
  <c r="AB711" i="6"/>
  <c r="AB711" i="8" s="1"/>
  <c r="AB720" i="6"/>
  <c r="AB720" i="8" s="1"/>
  <c r="G753" i="8"/>
  <c r="Z712" i="6"/>
  <c r="Z712" i="8" s="1"/>
  <c r="Z716" i="8"/>
  <c r="AA719" i="8"/>
  <c r="AB714" i="6"/>
  <c r="AB714" i="8" s="1"/>
  <c r="AA709" i="6"/>
  <c r="AA709" i="8" s="1"/>
  <c r="AA717" i="6"/>
  <c r="AA717" i="8" s="1"/>
  <c r="H753" i="8"/>
  <c r="AA703" i="8"/>
  <c r="AA722" i="8"/>
  <c r="H726" i="6"/>
  <c r="H726" i="8" s="1"/>
  <c r="AB703" i="6"/>
  <c r="AB703" i="8" s="1"/>
  <c r="AB723" i="6"/>
  <c r="AB723" i="8" s="1"/>
  <c r="AA710" i="8"/>
  <c r="AB710" i="6"/>
  <c r="AB710" i="8" s="1"/>
  <c r="X701" i="6"/>
  <c r="X701" i="8" s="1"/>
  <c r="AA718" i="8"/>
  <c r="AA712" i="6"/>
  <c r="AA712" i="8" s="1"/>
  <c r="AA714" i="8"/>
  <c r="Y721" i="6"/>
  <c r="Y721" i="8" s="1"/>
  <c r="X721" i="8"/>
  <c r="AB713" i="8"/>
  <c r="AB718" i="8"/>
  <c r="G755" i="8"/>
  <c r="G754" i="8"/>
  <c r="W714" i="8"/>
  <c r="W712" i="6"/>
  <c r="Y714" i="6"/>
  <c r="Y714" i="8" s="1"/>
  <c r="H755" i="8"/>
  <c r="H754" i="8"/>
  <c r="X722" i="8"/>
  <c r="Y722" i="6"/>
  <c r="Y722" i="8" s="1"/>
  <c r="X709" i="6"/>
  <c r="X709" i="8" s="1"/>
  <c r="Y710" i="6"/>
  <c r="X710" i="8"/>
  <c r="H751" i="6"/>
  <c r="H751" i="8" s="1"/>
  <c r="H748" i="8"/>
  <c r="Y715" i="6"/>
  <c r="Y715" i="8" s="1"/>
  <c r="X715" i="8"/>
  <c r="Y704" i="6"/>
  <c r="Y704" i="8" s="1"/>
  <c r="X704" i="8"/>
  <c r="X724" i="8"/>
  <c r="Y724" i="6"/>
  <c r="Y724" i="8" s="1"/>
  <c r="G751" i="6"/>
  <c r="G751" i="8" s="1"/>
  <c r="G748" i="8"/>
  <c r="W716" i="8"/>
  <c r="Y716" i="6"/>
  <c r="Y716" i="8" s="1"/>
  <c r="X706" i="6"/>
  <c r="X706" i="8" s="1"/>
  <c r="Y707" i="6"/>
  <c r="X707" i="8"/>
  <c r="AB707" i="8"/>
  <c r="AB706" i="6"/>
  <c r="AB706" i="8" s="1"/>
  <c r="Y702" i="8"/>
  <c r="X719" i="8"/>
  <c r="X717" i="6"/>
  <c r="X717" i="8" s="1"/>
  <c r="Y719" i="6"/>
  <c r="Y720" i="6"/>
  <c r="Y720" i="8" s="1"/>
  <c r="X720" i="8"/>
  <c r="X713" i="8"/>
  <c r="X712" i="6"/>
  <c r="X712" i="8" s="1"/>
  <c r="Y713" i="6"/>
  <c r="X708" i="8"/>
  <c r="Y708" i="6"/>
  <c r="Y708" i="8" s="1"/>
  <c r="F701" i="8"/>
  <c r="F726" i="6"/>
  <c r="X711" i="8"/>
  <c r="Y711" i="6"/>
  <c r="Y711" i="8" s="1"/>
  <c r="X723" i="8"/>
  <c r="Y723" i="6"/>
  <c r="Y723" i="8" s="1"/>
  <c r="X705" i="8"/>
  <c r="Y705" i="6"/>
  <c r="Y705" i="8" s="1"/>
  <c r="AG721" i="6"/>
  <c r="Z753" i="8"/>
  <c r="Z754" i="6"/>
  <c r="Z755" i="6" s="1"/>
  <c r="AB753" i="8" l="1"/>
  <c r="AB754" i="6"/>
  <c r="AB717" i="6"/>
  <c r="AB717" i="8" s="1"/>
  <c r="Z726" i="6"/>
  <c r="AB701" i="6"/>
  <c r="AB701" i="8" s="1"/>
  <c r="AB709" i="6"/>
  <c r="AB709" i="8" s="1"/>
  <c r="AB712" i="6"/>
  <c r="AB712" i="8" s="1"/>
  <c r="AA726" i="6"/>
  <c r="AB748" i="8"/>
  <c r="AB751" i="6"/>
  <c r="AB751" i="8" s="1"/>
  <c r="Y713" i="8"/>
  <c r="Y712" i="6"/>
  <c r="Y712" i="8" s="1"/>
  <c r="X726" i="6"/>
  <c r="W712" i="8"/>
  <c r="W726" i="6"/>
  <c r="F726" i="8"/>
  <c r="Y701" i="6"/>
  <c r="Y710" i="8"/>
  <c r="Y709" i="6"/>
  <c r="Y709" i="8" s="1"/>
  <c r="Z751" i="6"/>
  <c r="Z751" i="8" s="1"/>
  <c r="Z748" i="8"/>
  <c r="AG719" i="6"/>
  <c r="Z754" i="8"/>
  <c r="Z755" i="8"/>
  <c r="Y719" i="8"/>
  <c r="Y717" i="6"/>
  <c r="Y717" i="8" s="1"/>
  <c r="Y707" i="8"/>
  <c r="Y706" i="6"/>
  <c r="Y706" i="8" s="1"/>
  <c r="AB755" i="6" l="1"/>
  <c r="AB755" i="8" s="1"/>
  <c r="AB754" i="8"/>
  <c r="AH719" i="6"/>
  <c r="Z726" i="8"/>
  <c r="AH723" i="6"/>
  <c r="AB726" i="6"/>
  <c r="AB726" i="8" s="1"/>
  <c r="AH722" i="6"/>
  <c r="AA726" i="8"/>
  <c r="Y701" i="8"/>
  <c r="Y726" i="6"/>
  <c r="Y726" i="8" s="1"/>
  <c r="AG723" i="6"/>
  <c r="W726" i="8"/>
  <c r="AG722" i="6"/>
  <c r="X726" i="8"/>
  <c r="Z222" i="6" l="1"/>
  <c r="Z222" i="8" l="1"/>
  <c r="Z223" i="6"/>
  <c r="Z223" i="8" s="1"/>
  <c r="AG187" i="6"/>
  <c r="G37" i="2" l="1"/>
  <c r="I37" i="2" s="1"/>
  <c r="G33" i="2" l="1"/>
  <c r="G47" i="2" s="1"/>
  <c r="G86" i="2" l="1"/>
  <c r="G82" i="2"/>
  <c r="O32" i="6"/>
  <c r="I33" i="2"/>
  <c r="I67" i="5"/>
  <c r="G88" i="2"/>
  <c r="G91" i="2"/>
  <c r="G93" i="2" s="1"/>
  <c r="G94" i="2" s="1"/>
  <c r="I63" i="5" l="1"/>
  <c r="I47" i="2"/>
  <c r="I86" i="2" s="1"/>
  <c r="O32" i="8"/>
  <c r="O28" i="6"/>
  <c r="O42" i="6" l="1"/>
  <c r="O28" i="8"/>
  <c r="I91" i="2"/>
  <c r="I88" i="2"/>
  <c r="O42" i="8" l="1"/>
  <c r="P63" i="6"/>
  <c r="P65" i="6" l="1"/>
  <c r="P65" i="8" s="1"/>
  <c r="P68" i="6"/>
  <c r="P68" i="8" s="1"/>
  <c r="P63" i="8"/>
  <c r="F32" i="6" l="1"/>
  <c r="W32" i="6" s="1"/>
  <c r="E33" i="2"/>
  <c r="E47" i="2" s="1"/>
  <c r="G63" i="5"/>
  <c r="G67" i="5"/>
  <c r="E86" i="2" l="1"/>
  <c r="E82" i="2"/>
  <c r="F28" i="6"/>
  <c r="F28" i="8" s="1"/>
  <c r="X32" i="6"/>
  <c r="X32" i="8" s="1"/>
  <c r="E91" i="2"/>
  <c r="E93" i="2" s="1"/>
  <c r="E94" i="2" s="1"/>
  <c r="E88" i="2"/>
  <c r="F32" i="8"/>
  <c r="F42" i="6" l="1"/>
  <c r="W28" i="6"/>
  <c r="W32" i="8"/>
  <c r="Y32" i="6"/>
  <c r="Y28" i="6" s="1"/>
  <c r="X28" i="6"/>
  <c r="X42" i="6" s="1"/>
  <c r="Z59" i="6" s="1"/>
  <c r="Z59" i="8" s="1"/>
  <c r="F42" i="8" l="1"/>
  <c r="G59" i="6"/>
  <c r="G59" i="8" s="1"/>
  <c r="G63" i="6"/>
  <c r="G68" i="6" s="1"/>
  <c r="W28" i="8"/>
  <c r="W42" i="6"/>
  <c r="X28" i="8"/>
  <c r="Y32" i="8"/>
  <c r="Z63" i="6"/>
  <c r="AG38" i="6"/>
  <c r="X42" i="8"/>
  <c r="Y28" i="8"/>
  <c r="Y42" i="6"/>
  <c r="Y42" i="8" s="1"/>
  <c r="G68" i="8" l="1"/>
  <c r="G70" i="6"/>
  <c r="G65" i="6"/>
  <c r="G65" i="8" s="1"/>
  <c r="G63" i="8"/>
  <c r="Y63" i="6"/>
  <c r="AG39" i="6"/>
  <c r="W42" i="8"/>
  <c r="Z68" i="6"/>
  <c r="Z63" i="8"/>
  <c r="Z65" i="6"/>
  <c r="Z65" i="8" s="1"/>
  <c r="Z68" i="8" l="1"/>
  <c r="Z70" i="6"/>
  <c r="G71" i="6"/>
  <c r="G71" i="8" s="1"/>
  <c r="G70" i="8"/>
  <c r="Y65" i="6"/>
  <c r="Y65" i="8" s="1"/>
  <c r="Y63" i="8"/>
  <c r="Y68" i="6"/>
  <c r="Y68" i="8" s="1"/>
  <c r="Z71" i="6" l="1"/>
  <c r="Z71" i="8" s="1"/>
  <c r="Z70" i="8"/>
  <c r="AG35" i="6"/>
  <c r="AG41" i="6" s="1"/>
  <c r="AG47" i="6" l="1"/>
  <c r="AG45" i="6"/>
  <c r="Q73" i="5"/>
  <c r="O73" i="5"/>
  <c r="G214" i="6"/>
  <c r="Z214" i="6" s="1"/>
  <c r="AI51" i="6" l="1"/>
  <c r="AG51" i="6" s="1"/>
  <c r="AI49" i="6"/>
  <c r="AG49" i="6" s="1"/>
  <c r="AI50" i="6"/>
  <c r="AG50" i="6" s="1"/>
  <c r="G212" i="6"/>
  <c r="G215" i="6" s="1"/>
  <c r="G214" i="8"/>
  <c r="G212" i="8" s="1"/>
  <c r="AG52" i="6" l="1"/>
  <c r="Y214" i="6"/>
  <c r="Z212" i="6"/>
  <c r="Z215" i="6" s="1"/>
  <c r="Z214" i="8"/>
  <c r="Z212" i="8" s="1"/>
  <c r="G220" i="6"/>
  <c r="G220" i="8" s="1"/>
  <c r="G215" i="8"/>
  <c r="G217" i="6"/>
  <c r="G217" i="8" s="1"/>
  <c r="E100" i="2" l="1"/>
  <c r="T102" i="2" s="1"/>
  <c r="T85" i="2"/>
  <c r="T83" i="2" s="1"/>
  <c r="T86" i="2" s="1"/>
  <c r="Z217" i="6"/>
  <c r="Z217" i="8" s="1"/>
  <c r="Z220" i="6"/>
  <c r="Z220" i="8" s="1"/>
  <c r="Z215" i="8"/>
  <c r="Y212" i="6"/>
  <c r="Y215" i="6" s="1"/>
  <c r="Y214" i="8"/>
  <c r="Y212" i="8" s="1"/>
  <c r="T91" i="2" l="1"/>
  <c r="T93" i="2" s="1"/>
  <c r="T94" i="2" s="1"/>
  <c r="T88" i="2"/>
  <c r="P214" i="6"/>
  <c r="AG192" i="6"/>
  <c r="AG193" i="6" s="1"/>
  <c r="Y215" i="8"/>
  <c r="Y220" i="6"/>
  <c r="Y220" i="8" s="1"/>
  <c r="Y217" i="6"/>
  <c r="Y217" i="8" s="1"/>
  <c r="AG199" i="6" l="1"/>
  <c r="AG197" i="6"/>
  <c r="P214" i="8"/>
  <c r="P212" i="8" s="1"/>
  <c r="P212" i="6"/>
  <c r="P215" i="6" s="1"/>
  <c r="W73" i="5"/>
  <c r="P366" i="6"/>
  <c r="Y73" i="5"/>
  <c r="G366" i="6"/>
  <c r="P217" i="6" l="1"/>
  <c r="P217" i="8" s="1"/>
  <c r="P220" i="6"/>
  <c r="P220" i="8" s="1"/>
  <c r="P215" i="8"/>
  <c r="AI201" i="6"/>
  <c r="AG201" i="6" s="1"/>
  <c r="AI203" i="6"/>
  <c r="AG203" i="6" s="1"/>
  <c r="AI202" i="6"/>
  <c r="AG202" i="6" s="1"/>
  <c r="Z366" i="6"/>
  <c r="Z366" i="8" s="1"/>
  <c r="Z364" i="8" s="1"/>
  <c r="P364" i="6"/>
  <c r="P367" i="6" s="1"/>
  <c r="P366" i="8"/>
  <c r="P364" i="8" s="1"/>
  <c r="G364" i="6"/>
  <c r="G367" i="6" s="1"/>
  <c r="G372" i="6" s="1"/>
  <c r="G366" i="8"/>
  <c r="G364" i="8" s="1"/>
  <c r="AG204" i="6" l="1"/>
  <c r="Y366" i="6"/>
  <c r="Y366" i="8" s="1"/>
  <c r="Y364" i="8" s="1"/>
  <c r="Z364" i="6"/>
  <c r="Z367" i="6" s="1"/>
  <c r="Z367" i="8" s="1"/>
  <c r="P367" i="8"/>
  <c r="P372" i="6"/>
  <c r="P369" i="6"/>
  <c r="P369" i="8" s="1"/>
  <c r="G367" i="8"/>
  <c r="G369" i="6"/>
  <c r="G369" i="8" s="1"/>
  <c r="G371" i="8"/>
  <c r="G372" i="8"/>
  <c r="AD85" i="2" l="1"/>
  <c r="AD83" i="2" s="1"/>
  <c r="AD86" i="2" s="1"/>
  <c r="T100" i="2"/>
  <c r="AD102" i="2" s="1"/>
  <c r="AG344" i="6" s="1"/>
  <c r="AG345" i="6" s="1"/>
  <c r="Z369" i="6"/>
  <c r="Z369" i="8" s="1"/>
  <c r="Z372" i="6"/>
  <c r="Z372" i="8" s="1"/>
  <c r="Y364" i="6"/>
  <c r="Y367" i="6" s="1"/>
  <c r="Y369" i="6" s="1"/>
  <c r="Y369" i="8" s="1"/>
  <c r="P372" i="8"/>
  <c r="P371" i="8"/>
  <c r="AG351" i="6" l="1"/>
  <c r="AG349" i="6"/>
  <c r="AD88" i="2"/>
  <c r="AD91" i="2"/>
  <c r="AD93" i="2" s="1"/>
  <c r="AD94" i="2" s="1"/>
  <c r="Y367" i="8"/>
  <c r="Y372" i="6"/>
  <c r="Y372" i="8" s="1"/>
  <c r="Z371" i="8"/>
  <c r="AG73" i="5"/>
  <c r="G518" i="6"/>
  <c r="Z518" i="6" s="1"/>
  <c r="AI355" i="6" l="1"/>
  <c r="AG355" i="6" s="1"/>
  <c r="AI353" i="6"/>
  <c r="AG353" i="6" s="1"/>
  <c r="AI354" i="6"/>
  <c r="AG354" i="6" s="1"/>
  <c r="Y371" i="8"/>
  <c r="G516" i="6"/>
  <c r="G518" i="8"/>
  <c r="G516" i="8" s="1"/>
  <c r="AG356" i="6" l="1"/>
  <c r="AD100" i="2" s="1"/>
  <c r="AN102" i="2" s="1"/>
  <c r="Y518" i="6"/>
  <c r="Z516" i="6"/>
  <c r="Z518" i="8"/>
  <c r="Z516" i="8" s="1"/>
  <c r="AN85" i="2" l="1"/>
  <c r="AP85" i="2"/>
  <c r="AP83" i="2" s="1"/>
  <c r="AP86" i="2" s="1"/>
  <c r="AN83" i="2"/>
  <c r="AN86" i="2" s="1"/>
  <c r="P518" i="6"/>
  <c r="AG496" i="6"/>
  <c r="Y516" i="6"/>
  <c r="Y518" i="8"/>
  <c r="Y516" i="8" s="1"/>
  <c r="P516" i="6" l="1"/>
  <c r="P519" i="6" s="1"/>
  <c r="P518" i="8"/>
  <c r="P516" i="8" s="1"/>
  <c r="AN91" i="2"/>
  <c r="AN93" i="2" s="1"/>
  <c r="AN94" i="2" s="1"/>
  <c r="AN88" i="2"/>
  <c r="AP88" i="2"/>
  <c r="AP91" i="2"/>
  <c r="H660" i="6"/>
  <c r="H660" i="8" s="1"/>
  <c r="H658" i="6"/>
  <c r="H658" i="8" s="1"/>
  <c r="H656" i="6"/>
  <c r="H656" i="8" s="1"/>
  <c r="H627" i="6"/>
  <c r="H627" i="8" s="1"/>
  <c r="F627" i="6"/>
  <c r="F627" i="8" s="1"/>
  <c r="F660" i="6"/>
  <c r="F660" i="8" s="1"/>
  <c r="F654" i="6"/>
  <c r="H661" i="6"/>
  <c r="H661" i="8" s="1"/>
  <c r="H659" i="6"/>
  <c r="H659" i="8" s="1"/>
  <c r="H657" i="6"/>
  <c r="H657" i="8" s="1"/>
  <c r="F661" i="6"/>
  <c r="F661" i="8" s="1"/>
  <c r="F655" i="6"/>
  <c r="F655" i="8" s="1"/>
  <c r="AM69" i="5"/>
  <c r="F626" i="6"/>
  <c r="F626" i="8" s="1"/>
  <c r="H520" i="6"/>
  <c r="AB520" i="6" s="1"/>
  <c r="AB520" i="8" s="1"/>
  <c r="H672" i="6"/>
  <c r="H647" i="6"/>
  <c r="H647" i="8" s="1"/>
  <c r="AR74" i="5"/>
  <c r="AN74" i="5"/>
  <c r="AN65" i="5"/>
  <c r="H638" i="6"/>
  <c r="AR65" i="5"/>
  <c r="H632" i="6"/>
  <c r="H632" i="8" s="1"/>
  <c r="AN59" i="5"/>
  <c r="AR59" i="5"/>
  <c r="G520" i="6"/>
  <c r="Z520" i="6" s="1"/>
  <c r="G672" i="6"/>
  <c r="AM74" i="5"/>
  <c r="F647" i="6"/>
  <c r="F647" i="8" s="1"/>
  <c r="F645" i="6"/>
  <c r="F645" i="8" s="1"/>
  <c r="AM72" i="5"/>
  <c r="AM70" i="5"/>
  <c r="F643" i="6"/>
  <c r="F640" i="6"/>
  <c r="AM67" i="5"/>
  <c r="AM65" i="5"/>
  <c r="F638" i="6"/>
  <c r="F635" i="6"/>
  <c r="F635" i="8" s="1"/>
  <c r="AM62" i="5"/>
  <c r="AM59" i="5"/>
  <c r="F632" i="6"/>
  <c r="F632" i="8" s="1"/>
  <c r="AM56" i="5"/>
  <c r="F629" i="6"/>
  <c r="F629" i="8" s="1"/>
  <c r="H645" i="6"/>
  <c r="H645" i="8" s="1"/>
  <c r="AR72" i="5"/>
  <c r="AN72" i="5"/>
  <c r="AN62" i="5"/>
  <c r="AR62" i="5"/>
  <c r="H635" i="6"/>
  <c r="H635" i="8" s="1"/>
  <c r="AN56" i="5"/>
  <c r="AR56" i="5"/>
  <c r="H629" i="6"/>
  <c r="H629" i="8" s="1"/>
  <c r="AN75" i="5"/>
  <c r="H648" i="6"/>
  <c r="H648" i="8" s="1"/>
  <c r="AR75" i="5"/>
  <c r="H646" i="6"/>
  <c r="H646" i="8" s="1"/>
  <c r="AR71" i="5"/>
  <c r="H644" i="6"/>
  <c r="H644" i="8" s="1"/>
  <c r="AN71" i="5"/>
  <c r="AR69" i="5"/>
  <c r="AN69" i="5"/>
  <c r="H642" i="6"/>
  <c r="AN66" i="5"/>
  <c r="AR66" i="5"/>
  <c r="H639" i="6"/>
  <c r="H639" i="8" s="1"/>
  <c r="AR64" i="5"/>
  <c r="AN76" i="5"/>
  <c r="AR76" i="5"/>
  <c r="AN64" i="5"/>
  <c r="H637" i="6"/>
  <c r="AN61" i="5"/>
  <c r="AR61" i="5"/>
  <c r="H634" i="6"/>
  <c r="AR58" i="5"/>
  <c r="AN58" i="5"/>
  <c r="H631" i="6"/>
  <c r="AR55" i="5"/>
  <c r="AN55" i="5"/>
  <c r="H628" i="6"/>
  <c r="H628" i="8" s="1"/>
  <c r="AN70" i="5"/>
  <c r="AR70" i="5"/>
  <c r="H643" i="6"/>
  <c r="H643" i="8" s="1"/>
  <c r="H640" i="6"/>
  <c r="AN67" i="5"/>
  <c r="AR67" i="5"/>
  <c r="AM75" i="5"/>
  <c r="F648" i="6"/>
  <c r="F648" i="8" s="1"/>
  <c r="F646" i="6"/>
  <c r="F646" i="8" s="1"/>
  <c r="F644" i="6"/>
  <c r="F644" i="8" s="1"/>
  <c r="AM71" i="5"/>
  <c r="AM66" i="5"/>
  <c r="F639" i="6"/>
  <c r="F639" i="8" s="1"/>
  <c r="AM64" i="5"/>
  <c r="AM76" i="5"/>
  <c r="F637" i="6"/>
  <c r="F634" i="6"/>
  <c r="AM61" i="5"/>
  <c r="F631" i="6"/>
  <c r="AM58" i="5"/>
  <c r="F628" i="6"/>
  <c r="F628" i="8" s="1"/>
  <c r="AM55" i="5"/>
  <c r="H280" i="6"/>
  <c r="AA280" i="6" s="1"/>
  <c r="H508" i="6"/>
  <c r="H278" i="6"/>
  <c r="H278" i="8" s="1"/>
  <c r="H506" i="6"/>
  <c r="H276" i="6"/>
  <c r="AA276" i="6" s="1"/>
  <c r="H504" i="6"/>
  <c r="AF74" i="5"/>
  <c r="H495" i="6"/>
  <c r="H493" i="6"/>
  <c r="AF72" i="5"/>
  <c r="H491" i="6"/>
  <c r="AF70" i="5"/>
  <c r="H488" i="6"/>
  <c r="Z488" i="6" s="1"/>
  <c r="Z488" i="8" s="1"/>
  <c r="AF67" i="5"/>
  <c r="AF65" i="5"/>
  <c r="H486" i="6"/>
  <c r="Z486" i="6" s="1"/>
  <c r="AF62" i="5"/>
  <c r="H483" i="6"/>
  <c r="H480" i="6"/>
  <c r="AF59" i="5"/>
  <c r="AF56" i="5"/>
  <c r="H477" i="6"/>
  <c r="H247" i="6"/>
  <c r="AA247" i="6" s="1"/>
  <c r="H475" i="6"/>
  <c r="F280" i="6"/>
  <c r="X280" i="6" s="1"/>
  <c r="F508" i="6"/>
  <c r="F274" i="6"/>
  <c r="F274" i="8" s="1"/>
  <c r="F502" i="6"/>
  <c r="F495" i="6"/>
  <c r="AE74" i="5"/>
  <c r="F493" i="6"/>
  <c r="AE72" i="5"/>
  <c r="AE70" i="5"/>
  <c r="F491" i="6"/>
  <c r="X491" i="6" s="1"/>
  <c r="F488" i="6"/>
  <c r="W488" i="6" s="1"/>
  <c r="W488" i="8" s="1"/>
  <c r="AE67" i="5"/>
  <c r="AE65" i="5"/>
  <c r="F486" i="6"/>
  <c r="W486" i="6" s="1"/>
  <c r="AE62" i="5"/>
  <c r="F483" i="6"/>
  <c r="F480" i="6"/>
  <c r="AE59" i="5"/>
  <c r="AE56" i="5"/>
  <c r="F477" i="6"/>
  <c r="F247" i="6"/>
  <c r="X247" i="6" s="1"/>
  <c r="F475" i="6"/>
  <c r="F281" i="6"/>
  <c r="F281" i="8" s="1"/>
  <c r="F509" i="6"/>
  <c r="H281" i="6"/>
  <c r="AA281" i="6" s="1"/>
  <c r="H509" i="6"/>
  <c r="H279" i="6"/>
  <c r="H279" i="8" s="1"/>
  <c r="H507" i="6"/>
  <c r="H277" i="6"/>
  <c r="AA277" i="6" s="1"/>
  <c r="H505" i="6"/>
  <c r="AF75" i="5"/>
  <c r="H496" i="6"/>
  <c r="H494" i="6"/>
  <c r="AF73" i="5"/>
  <c r="H492" i="6"/>
  <c r="AF71" i="5"/>
  <c r="AF69" i="5"/>
  <c r="H490" i="6"/>
  <c r="AA490" i="6" s="1"/>
  <c r="AF66" i="5"/>
  <c r="H487" i="6"/>
  <c r="AF76" i="5"/>
  <c r="AF64" i="5"/>
  <c r="H485" i="6"/>
  <c r="AF61" i="5"/>
  <c r="H482" i="6"/>
  <c r="AA482" i="6" s="1"/>
  <c r="H479" i="6"/>
  <c r="AF58" i="5"/>
  <c r="AF55" i="5"/>
  <c r="H476" i="6"/>
  <c r="F275" i="6"/>
  <c r="X275" i="6" s="1"/>
  <c r="F503" i="6"/>
  <c r="F496" i="6"/>
  <c r="AE75" i="5"/>
  <c r="F494" i="6"/>
  <c r="AE73" i="5"/>
  <c r="F492" i="6"/>
  <c r="AE71" i="5"/>
  <c r="S69" i="5"/>
  <c r="AE69" i="5"/>
  <c r="AE66" i="5"/>
  <c r="F487" i="6"/>
  <c r="AE76" i="5"/>
  <c r="AE64" i="5"/>
  <c r="F485" i="6"/>
  <c r="AE61" i="5"/>
  <c r="F482" i="6"/>
  <c r="X482" i="6" s="1"/>
  <c r="AE58" i="5"/>
  <c r="F479" i="6"/>
  <c r="AE55" i="5"/>
  <c r="F476" i="6"/>
  <c r="F246" i="6"/>
  <c r="F246" i="8" s="1"/>
  <c r="F474" i="6"/>
  <c r="G292" i="6"/>
  <c r="H292" i="6"/>
  <c r="T74" i="5"/>
  <c r="H267" i="6"/>
  <c r="H265" i="6"/>
  <c r="T72" i="5"/>
  <c r="T70" i="5"/>
  <c r="H263" i="6"/>
  <c r="H259" i="6"/>
  <c r="T66" i="5"/>
  <c r="T76" i="5"/>
  <c r="T77" i="5" s="1"/>
  <c r="T64" i="5"/>
  <c r="H257" i="6"/>
  <c r="T62" i="5"/>
  <c r="H255" i="6"/>
  <c r="T58" i="5"/>
  <c r="H251" i="6"/>
  <c r="H249" i="6"/>
  <c r="T56" i="5"/>
  <c r="S74" i="5"/>
  <c r="F267" i="6"/>
  <c r="F265" i="6"/>
  <c r="S72" i="5"/>
  <c r="S70" i="5"/>
  <c r="F263" i="6"/>
  <c r="S66" i="5"/>
  <c r="F259" i="6"/>
  <c r="S76" i="5"/>
  <c r="S77" i="5" s="1"/>
  <c r="S64" i="5"/>
  <c r="F257" i="6"/>
  <c r="F255" i="6"/>
  <c r="S62" i="5"/>
  <c r="F251" i="6"/>
  <c r="S58" i="5"/>
  <c r="F249" i="6"/>
  <c r="S56" i="5"/>
  <c r="T75" i="5"/>
  <c r="H268" i="6"/>
  <c r="H266" i="6"/>
  <c r="T73" i="5"/>
  <c r="T71" i="5"/>
  <c r="H264" i="6"/>
  <c r="T69" i="5"/>
  <c r="H262" i="6"/>
  <c r="H260" i="6"/>
  <c r="T67" i="5"/>
  <c r="H258" i="6"/>
  <c r="T65" i="5"/>
  <c r="T61" i="5"/>
  <c r="H254" i="6"/>
  <c r="T59" i="5"/>
  <c r="H252" i="6"/>
  <c r="T55" i="5"/>
  <c r="H248" i="6"/>
  <c r="S75" i="5"/>
  <c r="F268" i="6"/>
  <c r="F266" i="6"/>
  <c r="S73" i="5"/>
  <c r="F264" i="6"/>
  <c r="S71" i="5"/>
  <c r="F260" i="6"/>
  <c r="S67" i="5"/>
  <c r="S65" i="5"/>
  <c r="F258" i="6"/>
  <c r="F254" i="6"/>
  <c r="S61" i="5"/>
  <c r="F252" i="6"/>
  <c r="S59" i="5"/>
  <c r="S55" i="5"/>
  <c r="F248" i="6"/>
  <c r="G523" i="6" l="1"/>
  <c r="G523" i="8" s="1"/>
  <c r="G520" i="8"/>
  <c r="AA279" i="6"/>
  <c r="AB279" i="6" s="1"/>
  <c r="AB279" i="8" s="1"/>
  <c r="P521" i="6"/>
  <c r="P521" i="8" s="1"/>
  <c r="P524" i="6"/>
  <c r="P524" i="8" s="1"/>
  <c r="P519" i="8"/>
  <c r="G677" i="6"/>
  <c r="X246" i="6"/>
  <c r="X274" i="6"/>
  <c r="Y274" i="6" s="1"/>
  <c r="Y274" i="8" s="1"/>
  <c r="X281" i="6"/>
  <c r="Y281" i="6" s="1"/>
  <c r="Y281" i="8" s="1"/>
  <c r="AA278" i="6"/>
  <c r="AB278" i="6" s="1"/>
  <c r="AB278" i="8" s="1"/>
  <c r="H277" i="8"/>
  <c r="H287" i="6"/>
  <c r="H287" i="8" s="1"/>
  <c r="H247" i="8"/>
  <c r="F275" i="8"/>
  <c r="H281" i="8"/>
  <c r="F654" i="8"/>
  <c r="H667" i="6"/>
  <c r="H667" i="8" s="1"/>
  <c r="H640" i="8"/>
  <c r="Z640" i="6"/>
  <c r="H638" i="8"/>
  <c r="Z638" i="6"/>
  <c r="F640" i="8"/>
  <c r="W640" i="6"/>
  <c r="F638" i="8"/>
  <c r="W638" i="6"/>
  <c r="H520" i="8"/>
  <c r="G667" i="6"/>
  <c r="G667" i="8" s="1"/>
  <c r="AM60" i="5"/>
  <c r="AM57" i="5"/>
  <c r="AM63" i="5"/>
  <c r="G297" i="6"/>
  <c r="G297" i="8" s="1"/>
  <c r="H677" i="6"/>
  <c r="H678" i="6" s="1"/>
  <c r="H679" i="6" s="1"/>
  <c r="AM68" i="5"/>
  <c r="H523" i="6"/>
  <c r="H523" i="8" s="1"/>
  <c r="F625" i="6"/>
  <c r="F625" i="8" s="1"/>
  <c r="AB523" i="6"/>
  <c r="AB523" i="8" s="1"/>
  <c r="H625" i="6"/>
  <c r="H625" i="8" s="1"/>
  <c r="F631" i="8"/>
  <c r="F630" i="6"/>
  <c r="F630" i="8" s="1"/>
  <c r="H631" i="8"/>
  <c r="H630" i="6"/>
  <c r="H630" i="8" s="1"/>
  <c r="H297" i="6"/>
  <c r="H298" i="6" s="1"/>
  <c r="H299" i="6" s="1"/>
  <c r="F247" i="8"/>
  <c r="F643" i="8"/>
  <c r="F641" i="6"/>
  <c r="F641" i="8" s="1"/>
  <c r="G677" i="8"/>
  <c r="G678" i="6"/>
  <c r="G679" i="6" s="1"/>
  <c r="AN68" i="5"/>
  <c r="AR68" i="5"/>
  <c r="AR57" i="5"/>
  <c r="AN57" i="5"/>
  <c r="F634" i="8"/>
  <c r="F633" i="6"/>
  <c r="F633" i="8" s="1"/>
  <c r="H636" i="6"/>
  <c r="H636" i="8" s="1"/>
  <c r="H637" i="8"/>
  <c r="H642" i="8"/>
  <c r="H641" i="6"/>
  <c r="H641" i="8" s="1"/>
  <c r="G672" i="8"/>
  <c r="G675" i="6"/>
  <c r="G675" i="8" s="1"/>
  <c r="H672" i="8"/>
  <c r="H675" i="6"/>
  <c r="H675" i="8" s="1"/>
  <c r="AN63" i="5"/>
  <c r="AR63" i="5"/>
  <c r="AR60" i="5"/>
  <c r="AN60" i="5"/>
  <c r="AA490" i="8"/>
  <c r="AB490" i="6"/>
  <c r="AB490" i="8" s="1"/>
  <c r="F636" i="6"/>
  <c r="F636" i="8" s="1"/>
  <c r="F637" i="8"/>
  <c r="H633" i="6"/>
  <c r="H633" i="8" s="1"/>
  <c r="H634" i="8"/>
  <c r="X482" i="8"/>
  <c r="Y482" i="6"/>
  <c r="Y482" i="8" s="1"/>
  <c r="W486" i="8"/>
  <c r="W484" i="6"/>
  <c r="X491" i="8"/>
  <c r="Y491" i="6"/>
  <c r="Y491" i="8" s="1"/>
  <c r="H477" i="8"/>
  <c r="AA477" i="6"/>
  <c r="AA482" i="8"/>
  <c r="AB482" i="6"/>
  <c r="AB482" i="8" s="1"/>
  <c r="F480" i="8"/>
  <c r="X480" i="6"/>
  <c r="H493" i="8"/>
  <c r="AA493" i="6"/>
  <c r="F477" i="8"/>
  <c r="X477" i="6"/>
  <c r="Z486" i="8"/>
  <c r="Z484" i="6"/>
  <c r="F493" i="8"/>
  <c r="X493" i="6"/>
  <c r="H480" i="8"/>
  <c r="AA480" i="6"/>
  <c r="X474" i="6"/>
  <c r="F474" i="8"/>
  <c r="F473" i="6"/>
  <c r="X485" i="6"/>
  <c r="F485" i="8"/>
  <c r="F484" i="6"/>
  <c r="F484" i="8" s="1"/>
  <c r="X492" i="6"/>
  <c r="F492" i="8"/>
  <c r="AA507" i="6"/>
  <c r="H507" i="8"/>
  <c r="X502" i="6"/>
  <c r="F502" i="8"/>
  <c r="G525" i="6"/>
  <c r="G515" i="6"/>
  <c r="G515" i="8" s="1"/>
  <c r="AA495" i="6"/>
  <c r="H495" i="8"/>
  <c r="S57" i="5"/>
  <c r="AE57" i="5"/>
  <c r="G287" i="6"/>
  <c r="G287" i="8" s="1"/>
  <c r="F280" i="8"/>
  <c r="T57" i="5"/>
  <c r="AF57" i="5"/>
  <c r="H276" i="8"/>
  <c r="H280" i="8"/>
  <c r="S68" i="5"/>
  <c r="AE68" i="5"/>
  <c r="X503" i="6"/>
  <c r="F503" i="8"/>
  <c r="AA485" i="6"/>
  <c r="H485" i="8"/>
  <c r="H484" i="6"/>
  <c r="H484" i="8" s="1"/>
  <c r="AA492" i="6"/>
  <c r="H492" i="8"/>
  <c r="X488" i="6"/>
  <c r="F488" i="8"/>
  <c r="AA491" i="6"/>
  <c r="H491" i="8"/>
  <c r="AA506" i="6"/>
  <c r="H506" i="8"/>
  <c r="S60" i="5"/>
  <c r="AE60" i="5"/>
  <c r="X479" i="6"/>
  <c r="F478" i="6"/>
  <c r="F478" i="8" s="1"/>
  <c r="F479" i="8"/>
  <c r="X496" i="6"/>
  <c r="F496" i="8"/>
  <c r="AA487" i="6"/>
  <c r="H487" i="8"/>
  <c r="AA496" i="6"/>
  <c r="H496" i="8"/>
  <c r="X509" i="6"/>
  <c r="F509" i="8"/>
  <c r="X483" i="6"/>
  <c r="F483" i="8"/>
  <c r="AA475" i="6"/>
  <c r="H475" i="8"/>
  <c r="H473" i="6"/>
  <c r="AA486" i="6"/>
  <c r="H486" i="8"/>
  <c r="S63" i="5"/>
  <c r="AE63" i="5"/>
  <c r="T63" i="5"/>
  <c r="AF63" i="5"/>
  <c r="T60" i="5"/>
  <c r="AF60" i="5"/>
  <c r="X476" i="6"/>
  <c r="F476" i="8"/>
  <c r="F481" i="6"/>
  <c r="F481" i="8" s="1"/>
  <c r="F482" i="8"/>
  <c r="X494" i="6"/>
  <c r="F494" i="8"/>
  <c r="AA479" i="6"/>
  <c r="H479" i="8"/>
  <c r="H478" i="6"/>
  <c r="H478" i="8" s="1"/>
  <c r="H489" i="6"/>
  <c r="H489" i="8" s="1"/>
  <c r="H490" i="8"/>
  <c r="AA505" i="6"/>
  <c r="H505" i="8"/>
  <c r="AA509" i="6"/>
  <c r="H509" i="8"/>
  <c r="X475" i="6"/>
  <c r="F475" i="8"/>
  <c r="X486" i="6"/>
  <c r="F486" i="8"/>
  <c r="F491" i="8"/>
  <c r="F489" i="6"/>
  <c r="F489" i="8" s="1"/>
  <c r="AA483" i="6"/>
  <c r="H483" i="8"/>
  <c r="AA504" i="6"/>
  <c r="H525" i="6"/>
  <c r="H504" i="8"/>
  <c r="H515" i="6"/>
  <c r="H515" i="8" s="1"/>
  <c r="T68" i="5"/>
  <c r="AF68" i="5"/>
  <c r="X487" i="6"/>
  <c r="F487" i="8"/>
  <c r="AA476" i="6"/>
  <c r="H476" i="8"/>
  <c r="H481" i="6"/>
  <c r="H481" i="8" s="1"/>
  <c r="H482" i="8"/>
  <c r="AA494" i="6"/>
  <c r="H494" i="8"/>
  <c r="X495" i="6"/>
  <c r="F495" i="8"/>
  <c r="X508" i="6"/>
  <c r="F508" i="8"/>
  <c r="Z523" i="6"/>
  <c r="Z523" i="8" s="1"/>
  <c r="Z520" i="8"/>
  <c r="AA488" i="6"/>
  <c r="H488" i="8"/>
  <c r="AA508" i="6"/>
  <c r="H508" i="8"/>
  <c r="X260" i="6"/>
  <c r="X260" i="8" s="1"/>
  <c r="F260" i="8"/>
  <c r="W260" i="6"/>
  <c r="AA260" i="6"/>
  <c r="AA260" i="8" s="1"/>
  <c r="H260" i="8"/>
  <c r="Z260" i="6"/>
  <c r="X267" i="6"/>
  <c r="F267" i="8"/>
  <c r="AB247" i="6"/>
  <c r="AA247" i="8"/>
  <c r="AA263" i="6"/>
  <c r="H263" i="8"/>
  <c r="AA267" i="6"/>
  <c r="H267" i="8"/>
  <c r="H292" i="8"/>
  <c r="AB292" i="6"/>
  <c r="H295" i="6"/>
  <c r="H295" i="8" s="1"/>
  <c r="AB276" i="6"/>
  <c r="AB276" i="8" s="1"/>
  <c r="AA276" i="8"/>
  <c r="X258" i="6"/>
  <c r="X258" i="8" s="1"/>
  <c r="W258" i="6"/>
  <c r="F258" i="8"/>
  <c r="X268" i="6"/>
  <c r="F268" i="8"/>
  <c r="AA262" i="6"/>
  <c r="H261" i="6"/>
  <c r="H261" i="8" s="1"/>
  <c r="H262" i="8"/>
  <c r="X249" i="6"/>
  <c r="F249" i="8"/>
  <c r="X255" i="6"/>
  <c r="F255" i="8"/>
  <c r="X259" i="6"/>
  <c r="F259" i="8"/>
  <c r="AA255" i="6"/>
  <c r="H255" i="8"/>
  <c r="X78" i="5"/>
  <c r="X77" i="5"/>
  <c r="AA279" i="8"/>
  <c r="Y246" i="6"/>
  <c r="X246" i="8"/>
  <c r="X266" i="6"/>
  <c r="F266" i="8"/>
  <c r="AA252" i="6"/>
  <c r="H252" i="8"/>
  <c r="F263" i="8"/>
  <c r="F261" i="6"/>
  <c r="F261" i="8" s="1"/>
  <c r="X263" i="6"/>
  <c r="X248" i="6"/>
  <c r="F248" i="8"/>
  <c r="AA248" i="6"/>
  <c r="H248" i="8"/>
  <c r="F245" i="6"/>
  <c r="X264" i="6"/>
  <c r="F264" i="8"/>
  <c r="Z297" i="6"/>
  <c r="X274" i="8"/>
  <c r="Z287" i="6"/>
  <c r="Z287" i="8" s="1"/>
  <c r="AA254" i="6"/>
  <c r="H254" i="8"/>
  <c r="H253" i="6"/>
  <c r="H253" i="8" s="1"/>
  <c r="AA258" i="6"/>
  <c r="AA258" i="8" s="1"/>
  <c r="H258" i="8"/>
  <c r="Z258" i="6"/>
  <c r="AA266" i="6"/>
  <c r="H266" i="8"/>
  <c r="X257" i="6"/>
  <c r="F256" i="6"/>
  <c r="F256" i="8" s="1"/>
  <c r="F257" i="8"/>
  <c r="H245" i="6"/>
  <c r="AA249" i="6"/>
  <c r="H249" i="8"/>
  <c r="Y280" i="6"/>
  <c r="Y280" i="8" s="1"/>
  <c r="X280" i="8"/>
  <c r="AB280" i="6"/>
  <c r="AB280" i="8" s="1"/>
  <c r="AA280" i="8"/>
  <c r="W78" i="5"/>
  <c r="W77" i="5"/>
  <c r="F252" i="8"/>
  <c r="X252" i="6"/>
  <c r="F253" i="6"/>
  <c r="F253" i="8" s="1"/>
  <c r="F254" i="8"/>
  <c r="X254" i="6"/>
  <c r="AA264" i="6"/>
  <c r="H264" i="8"/>
  <c r="AA268" i="6"/>
  <c r="H268" i="8"/>
  <c r="X247" i="8"/>
  <c r="Y247" i="6"/>
  <c r="Y247" i="8" s="1"/>
  <c r="X251" i="6"/>
  <c r="F250" i="6"/>
  <c r="F250" i="8" s="1"/>
  <c r="F251" i="8"/>
  <c r="F265" i="8"/>
  <c r="X265" i="6"/>
  <c r="Y275" i="6"/>
  <c r="Y275" i="8" s="1"/>
  <c r="X275" i="8"/>
  <c r="AA251" i="6"/>
  <c r="H251" i="8"/>
  <c r="H250" i="6"/>
  <c r="H250" i="8" s="1"/>
  <c r="AA257" i="6"/>
  <c r="H257" i="8"/>
  <c r="H256" i="6"/>
  <c r="H256" i="8" s="1"/>
  <c r="AA259" i="6"/>
  <c r="H259" i="8"/>
  <c r="H265" i="8"/>
  <c r="AA265" i="6"/>
  <c r="AB277" i="6"/>
  <c r="AB277" i="8" s="1"/>
  <c r="AA277" i="8"/>
  <c r="AA281" i="8"/>
  <c r="AB281" i="6"/>
  <c r="AB281" i="8" s="1"/>
  <c r="Z292" i="6"/>
  <c r="G295" i="6"/>
  <c r="G295" i="8" s="1"/>
  <c r="G292" i="8"/>
  <c r="AA278" i="8" l="1"/>
  <c r="AB297" i="6"/>
  <c r="X281" i="8"/>
  <c r="H297" i="8"/>
  <c r="AB287" i="6"/>
  <c r="AB287" i="8" s="1"/>
  <c r="Z638" i="8"/>
  <c r="AB638" i="6"/>
  <c r="Z636" i="6"/>
  <c r="Y638" i="6"/>
  <c r="W638" i="8"/>
  <c r="W636" i="6"/>
  <c r="W640" i="8"/>
  <c r="Y640" i="6"/>
  <c r="Y640" i="8" s="1"/>
  <c r="Z640" i="8"/>
  <c r="AB640" i="6"/>
  <c r="AB640" i="8" s="1"/>
  <c r="G298" i="6"/>
  <c r="H677" i="8"/>
  <c r="F650" i="6"/>
  <c r="F650" i="8" s="1"/>
  <c r="G679" i="8"/>
  <c r="G678" i="8"/>
  <c r="H650" i="6"/>
  <c r="H650" i="8" s="1"/>
  <c r="H679" i="8"/>
  <c r="H678" i="8"/>
  <c r="X493" i="8"/>
  <c r="Y493" i="6"/>
  <c r="Y493" i="8" s="1"/>
  <c r="Y477" i="6"/>
  <c r="Y477" i="8" s="1"/>
  <c r="X477" i="8"/>
  <c r="X480" i="8"/>
  <c r="Y480" i="6"/>
  <c r="Y480" i="8" s="1"/>
  <c r="AA477" i="8"/>
  <c r="AB477" i="6"/>
  <c r="AB477" i="8" s="1"/>
  <c r="W484" i="8"/>
  <c r="W498" i="6"/>
  <c r="AB480" i="6"/>
  <c r="AB480" i="8" s="1"/>
  <c r="AA480" i="8"/>
  <c r="Z484" i="8"/>
  <c r="Z498" i="6"/>
  <c r="AB493" i="6"/>
  <c r="AB493" i="8" s="1"/>
  <c r="AA493" i="8"/>
  <c r="AA479" i="8"/>
  <c r="AA478" i="6"/>
  <c r="AA478" i="8" s="1"/>
  <c r="AB479" i="6"/>
  <c r="AA492" i="8"/>
  <c r="AB492" i="6"/>
  <c r="AB492" i="8" s="1"/>
  <c r="X485" i="8"/>
  <c r="X484" i="6"/>
  <c r="X484" i="8" s="1"/>
  <c r="Y485" i="6"/>
  <c r="AA508" i="8"/>
  <c r="AB508" i="6"/>
  <c r="AB508" i="8" s="1"/>
  <c r="X495" i="8"/>
  <c r="Y495" i="6"/>
  <c r="Y495" i="8" s="1"/>
  <c r="Y487" i="6"/>
  <c r="Y487" i="8" s="1"/>
  <c r="X487" i="8"/>
  <c r="AA483" i="8"/>
  <c r="AB483" i="6"/>
  <c r="AA481" i="6"/>
  <c r="AA481" i="8" s="1"/>
  <c r="X486" i="8"/>
  <c r="Y486" i="6"/>
  <c r="Y486" i="8" s="1"/>
  <c r="AB509" i="6"/>
  <c r="AB509" i="8" s="1"/>
  <c r="AA509" i="8"/>
  <c r="AB475" i="6"/>
  <c r="AA473" i="6"/>
  <c r="AA475" i="8"/>
  <c r="Y509" i="6"/>
  <c r="Y509" i="8" s="1"/>
  <c r="X509" i="8"/>
  <c r="AA487" i="8"/>
  <c r="AB487" i="6"/>
  <c r="AB487" i="8" s="1"/>
  <c r="Y503" i="6"/>
  <c r="Y503" i="8" s="1"/>
  <c r="X503" i="8"/>
  <c r="AB495" i="6"/>
  <c r="AB495" i="8" s="1"/>
  <c r="AA495" i="8"/>
  <c r="Y502" i="6"/>
  <c r="Y502" i="8" s="1"/>
  <c r="Z525" i="6"/>
  <c r="X502" i="8"/>
  <c r="Z515" i="6"/>
  <c r="Z515" i="8" s="1"/>
  <c r="Y492" i="6"/>
  <c r="X492" i="8"/>
  <c r="X489" i="6"/>
  <c r="X489" i="8" s="1"/>
  <c r="F473" i="8"/>
  <c r="F498" i="6"/>
  <c r="AA489" i="6"/>
  <c r="AA489" i="8" s="1"/>
  <c r="AA491" i="8"/>
  <c r="AB491" i="6"/>
  <c r="H526" i="6"/>
  <c r="H527" i="6" s="1"/>
  <c r="H525" i="8"/>
  <c r="Y494" i="6"/>
  <c r="Y494" i="8" s="1"/>
  <c r="X494" i="8"/>
  <c r="Y476" i="6"/>
  <c r="Y476" i="8" s="1"/>
  <c r="X476" i="8"/>
  <c r="AA486" i="8"/>
  <c r="AB486" i="6"/>
  <c r="AB486" i="8" s="1"/>
  <c r="X479" i="8"/>
  <c r="Y479" i="6"/>
  <c r="X478" i="6"/>
  <c r="X478" i="8" s="1"/>
  <c r="AB506" i="6"/>
  <c r="AB506" i="8" s="1"/>
  <c r="AA506" i="8"/>
  <c r="X488" i="8"/>
  <c r="Y488" i="6"/>
  <c r="Y488" i="8" s="1"/>
  <c r="AA488" i="8"/>
  <c r="AB488" i="6"/>
  <c r="AB488" i="8" s="1"/>
  <c r="Y508" i="6"/>
  <c r="Y508" i="8" s="1"/>
  <c r="X508" i="8"/>
  <c r="AB494" i="6"/>
  <c r="AB494" i="8" s="1"/>
  <c r="AA494" i="8"/>
  <c r="AA476" i="8"/>
  <c r="AB476" i="6"/>
  <c r="AB476" i="8" s="1"/>
  <c r="AB525" i="6"/>
  <c r="AB504" i="6"/>
  <c r="AB504" i="8" s="1"/>
  <c r="AA504" i="8"/>
  <c r="AB515" i="6"/>
  <c r="AB515" i="8" s="1"/>
  <c r="X475" i="8"/>
  <c r="Y475" i="6"/>
  <c r="Y475" i="8" s="1"/>
  <c r="AB505" i="6"/>
  <c r="AB505" i="8" s="1"/>
  <c r="AA505" i="8"/>
  <c r="H473" i="8"/>
  <c r="H498" i="6"/>
  <c r="Y483" i="6"/>
  <c r="X481" i="6"/>
  <c r="X481" i="8" s="1"/>
  <c r="X483" i="8"/>
  <c r="AB496" i="6"/>
  <c r="AB496" i="8" s="1"/>
  <c r="AA496" i="8"/>
  <c r="Y496" i="6"/>
  <c r="Y496" i="8" s="1"/>
  <c r="X496" i="8"/>
  <c r="AA485" i="8"/>
  <c r="AB485" i="6"/>
  <c r="AA484" i="6"/>
  <c r="AA484" i="8" s="1"/>
  <c r="G525" i="8"/>
  <c r="G526" i="6"/>
  <c r="G527" i="6" s="1"/>
  <c r="AB507" i="6"/>
  <c r="AB507" i="8" s="1"/>
  <c r="AA507" i="8"/>
  <c r="X473" i="6"/>
  <c r="X474" i="8"/>
  <c r="Y474" i="6"/>
  <c r="AA251" i="8"/>
  <c r="AB251" i="6"/>
  <c r="AA250" i="6"/>
  <c r="AA250" i="8" s="1"/>
  <c r="AB265" i="6"/>
  <c r="AB265" i="8" s="1"/>
  <c r="AA265" i="8"/>
  <c r="X254" i="8"/>
  <c r="X253" i="6"/>
  <c r="X253" i="8" s="1"/>
  <c r="Y254" i="6"/>
  <c r="H270" i="6"/>
  <c r="H245" i="8"/>
  <c r="AA248" i="8"/>
  <c r="AB248" i="6"/>
  <c r="AB248" i="8" s="1"/>
  <c r="Y246" i="8"/>
  <c r="AB78" i="5"/>
  <c r="AB77" i="5"/>
  <c r="X255" i="8"/>
  <c r="Y255" i="6"/>
  <c r="Y255" i="8" s="1"/>
  <c r="W256" i="6"/>
  <c r="W258" i="8"/>
  <c r="Y258" i="6"/>
  <c r="Y258" i="8" s="1"/>
  <c r="AA263" i="8"/>
  <c r="AB263" i="6"/>
  <c r="AB263" i="8" s="1"/>
  <c r="Y265" i="6"/>
  <c r="Y265" i="8" s="1"/>
  <c r="X265" i="8"/>
  <c r="X251" i="8"/>
  <c r="X250" i="6"/>
  <c r="X250" i="8" s="1"/>
  <c r="Y251" i="6"/>
  <c r="AA268" i="8"/>
  <c r="AB268" i="6"/>
  <c r="AB268" i="8" s="1"/>
  <c r="AA78" i="5"/>
  <c r="AA77" i="5"/>
  <c r="AB266" i="6"/>
  <c r="AB266" i="8" s="1"/>
  <c r="AA266" i="8"/>
  <c r="X264" i="8"/>
  <c r="Y264" i="6"/>
  <c r="Y264" i="8" s="1"/>
  <c r="X266" i="8"/>
  <c r="Y266" i="6"/>
  <c r="Y266" i="8" s="1"/>
  <c r="AA245" i="6"/>
  <c r="Y267" i="6"/>
  <c r="Y267" i="8" s="1"/>
  <c r="X267" i="8"/>
  <c r="Y260" i="6"/>
  <c r="Y260" i="8" s="1"/>
  <c r="W260" i="8"/>
  <c r="AA257" i="8"/>
  <c r="AB257" i="6"/>
  <c r="AA256" i="6"/>
  <c r="AA256" i="8" s="1"/>
  <c r="AB258" i="6"/>
  <c r="AB258" i="8" s="1"/>
  <c r="Z258" i="8"/>
  <c r="Z256" i="6"/>
  <c r="F245" i="8"/>
  <c r="F270" i="6"/>
  <c r="X248" i="8"/>
  <c r="Y248" i="6"/>
  <c r="Y248" i="8" s="1"/>
  <c r="X245" i="6"/>
  <c r="Y259" i="6"/>
  <c r="Y259" i="8" s="1"/>
  <c r="X259" i="8"/>
  <c r="Y249" i="6"/>
  <c r="Y249" i="8" s="1"/>
  <c r="X249" i="8"/>
  <c r="AB262" i="6"/>
  <c r="AA261" i="6"/>
  <c r="AA261" i="8" s="1"/>
  <c r="AA262" i="8"/>
  <c r="Y268" i="6"/>
  <c r="Y268" i="8" s="1"/>
  <c r="X268" i="8"/>
  <c r="AB298" i="6"/>
  <c r="AB299" i="6" s="1"/>
  <c r="AB297" i="8"/>
  <c r="AH265" i="6"/>
  <c r="AB267" i="6"/>
  <c r="AB267" i="8" s="1"/>
  <c r="AA267" i="8"/>
  <c r="Z260" i="8"/>
  <c r="AB260" i="6"/>
  <c r="AB260" i="8" s="1"/>
  <c r="Z295" i="6"/>
  <c r="Z295" i="8" s="1"/>
  <c r="Z292" i="8"/>
  <c r="AB259" i="6"/>
  <c r="AB259" i="8" s="1"/>
  <c r="AA259" i="8"/>
  <c r="AB264" i="6"/>
  <c r="AB264" i="8" s="1"/>
  <c r="AA264" i="8"/>
  <c r="X252" i="8"/>
  <c r="Y252" i="6"/>
  <c r="Y252" i="8" s="1"/>
  <c r="AA249" i="8"/>
  <c r="AB249" i="6"/>
  <c r="AB249" i="8" s="1"/>
  <c r="X257" i="8"/>
  <c r="X256" i="6"/>
  <c r="X256" i="8" s="1"/>
  <c r="Y257" i="6"/>
  <c r="H299" i="8"/>
  <c r="H298" i="8"/>
  <c r="AA254" i="8"/>
  <c r="AB254" i="6"/>
  <c r="AA253" i="6"/>
  <c r="AA253" i="8" s="1"/>
  <c r="AG265" i="6"/>
  <c r="Z297" i="8"/>
  <c r="Z298" i="6"/>
  <c r="Z299" i="6" s="1"/>
  <c r="X263" i="8"/>
  <c r="X261" i="6"/>
  <c r="X261" i="8" s="1"/>
  <c r="Y263" i="6"/>
  <c r="AA252" i="8"/>
  <c r="AB252" i="6"/>
  <c r="AB252" i="8" s="1"/>
  <c r="AA255" i="8"/>
  <c r="AB255" i="6"/>
  <c r="AB255" i="8" s="1"/>
  <c r="AB292" i="8"/>
  <c r="AB295" i="6"/>
  <c r="AB295" i="8" s="1"/>
  <c r="AB247" i="8"/>
  <c r="G299" i="6" l="1"/>
  <c r="G299" i="8" s="1"/>
  <c r="G298" i="8"/>
  <c r="Y638" i="8"/>
  <c r="Y636" i="6"/>
  <c r="Z636" i="8"/>
  <c r="Z650" i="6"/>
  <c r="W636" i="8"/>
  <c r="W650" i="6"/>
  <c r="AB638" i="8"/>
  <c r="AB636" i="6"/>
  <c r="AH495" i="6"/>
  <c r="Z498" i="8"/>
  <c r="AA519" i="6"/>
  <c r="AG495" i="6"/>
  <c r="W498" i="8"/>
  <c r="Y519" i="6"/>
  <c r="AB479" i="8"/>
  <c r="AB478" i="6"/>
  <c r="AB478" i="8" s="1"/>
  <c r="X473" i="8"/>
  <c r="X498" i="6"/>
  <c r="AB483" i="8"/>
  <c r="AB481" i="6"/>
  <c r="AB481" i="8" s="1"/>
  <c r="AA473" i="8"/>
  <c r="AA498" i="6"/>
  <c r="Y474" i="8"/>
  <c r="Y473" i="6"/>
  <c r="AB485" i="8"/>
  <c r="AB484" i="6"/>
  <c r="AB484" i="8" s="1"/>
  <c r="Y483" i="8"/>
  <c r="Y481" i="6"/>
  <c r="Y481" i="8" s="1"/>
  <c r="Y479" i="8"/>
  <c r="Y478" i="6"/>
  <c r="Y478" i="8" s="1"/>
  <c r="AG493" i="6"/>
  <c r="Z525" i="8"/>
  <c r="Z526" i="6"/>
  <c r="Z527" i="6" s="1"/>
  <c r="AB475" i="8"/>
  <c r="AB473" i="6"/>
  <c r="AB526" i="6"/>
  <c r="AB527" i="6" s="1"/>
  <c r="AB525" i="8"/>
  <c r="AH493" i="6"/>
  <c r="AB491" i="8"/>
  <c r="AB489" i="6"/>
  <c r="AB489" i="8" s="1"/>
  <c r="Y485" i="8"/>
  <c r="Y484" i="6"/>
  <c r="Y484" i="8" s="1"/>
  <c r="G526" i="8"/>
  <c r="G527" i="8"/>
  <c r="H498" i="8"/>
  <c r="H519" i="6"/>
  <c r="H527" i="8"/>
  <c r="H526" i="8"/>
  <c r="F498" i="8"/>
  <c r="G519" i="6"/>
  <c r="Y492" i="8"/>
  <c r="Y489" i="6"/>
  <c r="Y489" i="8" s="1"/>
  <c r="F270" i="8"/>
  <c r="AA270" i="6"/>
  <c r="AA245" i="8"/>
  <c r="W270" i="6"/>
  <c r="W256" i="8"/>
  <c r="AF78" i="5"/>
  <c r="AF77" i="5"/>
  <c r="Y254" i="8"/>
  <c r="Y253" i="6"/>
  <c r="Y253" i="8" s="1"/>
  <c r="AB299" i="8"/>
  <c r="AH263" i="6"/>
  <c r="AB298" i="8"/>
  <c r="X245" i="8"/>
  <c r="X270" i="6"/>
  <c r="AG263" i="6"/>
  <c r="Z299" i="8"/>
  <c r="Z298" i="8"/>
  <c r="AB254" i="8"/>
  <c r="AB253" i="6"/>
  <c r="AB253" i="8" s="1"/>
  <c r="Y257" i="8"/>
  <c r="Y256" i="6"/>
  <c r="Y256" i="8" s="1"/>
  <c r="AB262" i="8"/>
  <c r="AB261" i="6"/>
  <c r="AB261" i="8" s="1"/>
  <c r="Z270" i="6"/>
  <c r="Z256" i="8"/>
  <c r="AB257" i="8"/>
  <c r="AB256" i="6"/>
  <c r="AB256" i="8" s="1"/>
  <c r="Y245" i="6"/>
  <c r="AB251" i="8"/>
  <c r="AB250" i="6"/>
  <c r="AB250" i="8" s="1"/>
  <c r="AB245" i="6"/>
  <c r="Y263" i="8"/>
  <c r="Y261" i="6"/>
  <c r="Y261" i="8" s="1"/>
  <c r="AE77" i="5"/>
  <c r="AE78" i="5"/>
  <c r="Y251" i="8"/>
  <c r="Y250" i="6"/>
  <c r="Y250" i="8" s="1"/>
  <c r="H270" i="8"/>
  <c r="AB636" i="8" l="1"/>
  <c r="AB650" i="6"/>
  <c r="AB650" i="8" s="1"/>
  <c r="AH647" i="6"/>
  <c r="Z650" i="8"/>
  <c r="AG647" i="6"/>
  <c r="W650" i="8"/>
  <c r="Y636" i="8"/>
  <c r="Y650" i="6"/>
  <c r="Y650" i="8" s="1"/>
  <c r="AA519" i="8"/>
  <c r="AA521" i="6"/>
  <c r="AA521" i="8" s="1"/>
  <c r="AA524" i="6"/>
  <c r="AA524" i="8" s="1"/>
  <c r="Y524" i="6"/>
  <c r="Y524" i="8" s="1"/>
  <c r="Y521" i="6"/>
  <c r="Y521" i="8" s="1"/>
  <c r="Y519" i="8"/>
  <c r="G519" i="8"/>
  <c r="G521" i="6"/>
  <c r="G521" i="8" s="1"/>
  <c r="G524" i="6"/>
  <c r="G524" i="8" s="1"/>
  <c r="AH494" i="6"/>
  <c r="AA498" i="8"/>
  <c r="AB519" i="6"/>
  <c r="AG491" i="6"/>
  <c r="Z527" i="8"/>
  <c r="Z526" i="8"/>
  <c r="AG494" i="6"/>
  <c r="X498" i="8"/>
  <c r="Z519" i="6"/>
  <c r="AB527" i="8"/>
  <c r="AH491" i="6"/>
  <c r="AB526" i="8"/>
  <c r="Y473" i="8"/>
  <c r="Y498" i="6"/>
  <c r="Y498" i="8" s="1"/>
  <c r="H519" i="8"/>
  <c r="H521" i="6"/>
  <c r="H521" i="8" s="1"/>
  <c r="H524" i="6"/>
  <c r="H524" i="8" s="1"/>
  <c r="AB473" i="8"/>
  <c r="AB498" i="6"/>
  <c r="AB498" i="8" s="1"/>
  <c r="AH266" i="6"/>
  <c r="AA270" i="8"/>
  <c r="Y245" i="8"/>
  <c r="Y270" i="6"/>
  <c r="Y270" i="8" s="1"/>
  <c r="AH267" i="6"/>
  <c r="Z270" i="8"/>
  <c r="AJ78" i="5"/>
  <c r="AJ77" i="5"/>
  <c r="AG266" i="6"/>
  <c r="X270" i="8"/>
  <c r="AI77" i="5"/>
  <c r="AI78" i="5"/>
  <c r="AB270" i="6"/>
  <c r="AB270" i="8" s="1"/>
  <c r="AB245" i="8"/>
  <c r="AG267" i="6"/>
  <c r="W270" i="8"/>
  <c r="AG497" i="6" l="1"/>
  <c r="AG503" i="6" s="1"/>
  <c r="AH497" i="6"/>
  <c r="AB519" i="8"/>
  <c r="AB521" i="6"/>
  <c r="AB521" i="8" s="1"/>
  <c r="AB524" i="6"/>
  <c r="AB524" i="8" s="1"/>
  <c r="Z524" i="6"/>
  <c r="Z524" i="8" s="1"/>
  <c r="Z519" i="8"/>
  <c r="Z521" i="6"/>
  <c r="Z521" i="8" s="1"/>
  <c r="AG269" i="6"/>
  <c r="AG273" i="6" s="1"/>
  <c r="AH269" i="6"/>
  <c r="AH275" i="6" s="1"/>
  <c r="AN78" i="5"/>
  <c r="AN77" i="5"/>
  <c r="AM78" i="5"/>
  <c r="AM77" i="5"/>
  <c r="AG501" i="6" l="1"/>
  <c r="AH501" i="6"/>
  <c r="AH503" i="6"/>
  <c r="AI507" i="6"/>
  <c r="AG507" i="6" s="1"/>
  <c r="AI505" i="6"/>
  <c r="AG505" i="6" s="1"/>
  <c r="AI506" i="6"/>
  <c r="AG506" i="6" s="1"/>
  <c r="AH273" i="6"/>
  <c r="AG275" i="6"/>
  <c r="AI279" i="6" s="1"/>
  <c r="AG279" i="6" s="1"/>
  <c r="AQ78" i="5"/>
  <c r="AQ77" i="5"/>
  <c r="AJ277" i="6"/>
  <c r="AH277" i="6" s="1"/>
  <c r="AJ278" i="6"/>
  <c r="AH278" i="6" s="1"/>
  <c r="AJ279" i="6"/>
  <c r="AH279" i="6" s="1"/>
  <c r="AR78" i="5"/>
  <c r="AR77" i="5"/>
  <c r="AG508" i="6" l="1"/>
  <c r="AJ507" i="6"/>
  <c r="AH507" i="6" s="1"/>
  <c r="AJ506" i="6"/>
  <c r="AH506" i="6" s="1"/>
  <c r="AJ505" i="6"/>
  <c r="AH505" i="6" s="1"/>
  <c r="AI277" i="6"/>
  <c r="AG277" i="6" s="1"/>
  <c r="AI278" i="6"/>
  <c r="AG278" i="6" s="1"/>
  <c r="AV78" i="5"/>
  <c r="AH280" i="6"/>
  <c r="AU78" i="5"/>
  <c r="AH508" i="6" l="1"/>
  <c r="AO100" i="2" s="1"/>
  <c r="AY102" i="2" s="1"/>
  <c r="AX85" i="2"/>
  <c r="AN100" i="2"/>
  <c r="AX102" i="2" s="1"/>
  <c r="AG280" i="6"/>
  <c r="AI85" i="2" s="1"/>
  <c r="AJ85" i="2"/>
  <c r="Z100" i="2"/>
  <c r="AJ102" i="2" s="1"/>
  <c r="Q442" i="6" s="1"/>
  <c r="P670" i="6" l="1"/>
  <c r="G670" i="6"/>
  <c r="Z670" i="6" s="1"/>
  <c r="AM73" i="5"/>
  <c r="AX83" i="2"/>
  <c r="AX86" i="2" s="1"/>
  <c r="AX91" i="2" s="1"/>
  <c r="AX93" i="2" s="1"/>
  <c r="AX94" i="2" s="1"/>
  <c r="AP73" i="5"/>
  <c r="Q670" i="6"/>
  <c r="H670" i="6"/>
  <c r="AB670" i="6" s="1"/>
  <c r="AN73" i="5"/>
  <c r="AG648" i="6"/>
  <c r="AG649" i="6" s="1"/>
  <c r="AG655" i="6" s="1"/>
  <c r="AO73" i="5"/>
  <c r="AY85" i="2"/>
  <c r="AI83" i="2"/>
  <c r="AI86" i="2" s="1"/>
  <c r="AI88" i="2" s="1"/>
  <c r="AK85" i="2"/>
  <c r="AK83" i="2" s="1"/>
  <c r="AK86" i="2" s="1"/>
  <c r="AJ83" i="2"/>
  <c r="AJ86" i="2" s="1"/>
  <c r="AJ91" i="2" s="1"/>
  <c r="AJ93" i="2" s="1"/>
  <c r="AJ94" i="2" s="1"/>
  <c r="AL85" i="2"/>
  <c r="AL83" i="2" s="1"/>
  <c r="AL86" i="2" s="1"/>
  <c r="AD73" i="5"/>
  <c r="H442" i="6"/>
  <c r="AB73" i="5"/>
  <c r="AH648" i="6"/>
  <c r="AH649" i="6" s="1"/>
  <c r="Y100" i="2"/>
  <c r="AI102" i="2" s="1"/>
  <c r="P442" i="6" s="1"/>
  <c r="AH420" i="6"/>
  <c r="AH421" i="6" s="1"/>
  <c r="H668" i="6" l="1"/>
  <c r="H671" i="6" s="1"/>
  <c r="H670" i="8"/>
  <c r="H668" i="8" s="1"/>
  <c r="AX88" i="2"/>
  <c r="G670" i="8"/>
  <c r="G668" i="8" s="1"/>
  <c r="G668" i="6"/>
  <c r="G671" i="6" s="1"/>
  <c r="AY83" i="2"/>
  <c r="AY86" i="2" s="1"/>
  <c r="AY88" i="2" s="1"/>
  <c r="AG653" i="6"/>
  <c r="P668" i="6"/>
  <c r="P671" i="6" s="1"/>
  <c r="P670" i="8"/>
  <c r="P668" i="8" s="1"/>
  <c r="AI91" i="2"/>
  <c r="AI93" i="2" s="1"/>
  <c r="AI94" i="2" s="1"/>
  <c r="AJ88" i="2"/>
  <c r="AL88" i="2"/>
  <c r="AL91" i="2"/>
  <c r="AK88" i="2"/>
  <c r="AK91" i="2"/>
  <c r="AB442" i="6"/>
  <c r="AA442" i="6" s="1"/>
  <c r="Q670" i="8"/>
  <c r="Q668" i="8" s="1"/>
  <c r="Q668" i="6"/>
  <c r="Q671" i="6" s="1"/>
  <c r="AI657" i="6"/>
  <c r="AG657" i="6"/>
  <c r="AI659" i="6"/>
  <c r="AG659" i="6" s="1"/>
  <c r="AI658" i="6"/>
  <c r="AG658" i="6" s="1"/>
  <c r="G442" i="6"/>
  <c r="AA73" i="5"/>
  <c r="H440" i="6"/>
  <c r="H443" i="6" s="1"/>
  <c r="H442" i="8"/>
  <c r="H440" i="8" s="1"/>
  <c r="AH653" i="6"/>
  <c r="AH655" i="6"/>
  <c r="AG420" i="6"/>
  <c r="AG421" i="6" s="1"/>
  <c r="AG427" i="6" s="1"/>
  <c r="AC73" i="5"/>
  <c r="Q440" i="6"/>
  <c r="Q443" i="6" s="1"/>
  <c r="Q442" i="8"/>
  <c r="Q440" i="8" s="1"/>
  <c r="AH425" i="6"/>
  <c r="AH427" i="6"/>
  <c r="AY91" i="2" l="1"/>
  <c r="AY93" i="2" s="1"/>
  <c r="AY94" i="2" s="1"/>
  <c r="G673" i="6"/>
  <c r="G673" i="8" s="1"/>
  <c r="G671" i="8"/>
  <c r="G676" i="6"/>
  <c r="G676" i="8" s="1"/>
  <c r="H671" i="8"/>
  <c r="H673" i="6"/>
  <c r="H673" i="8" s="1"/>
  <c r="H676" i="6"/>
  <c r="H676" i="8" s="1"/>
  <c r="Z670" i="8"/>
  <c r="Z668" i="8" s="1"/>
  <c r="Z668" i="6"/>
  <c r="Z671" i="6" s="1"/>
  <c r="Y670" i="6"/>
  <c r="P671" i="8"/>
  <c r="P673" i="6"/>
  <c r="P673" i="8" s="1"/>
  <c r="P676" i="6"/>
  <c r="P676" i="8" s="1"/>
  <c r="AB442" i="8"/>
  <c r="AB440" i="8" s="1"/>
  <c r="AB440" i="6"/>
  <c r="AB443" i="6" s="1"/>
  <c r="AB448" i="6" s="1"/>
  <c r="AB448" i="8" s="1"/>
  <c r="AG660" i="6"/>
  <c r="BH85" i="2" s="1"/>
  <c r="AJ657" i="6"/>
  <c r="AH657" i="6" s="1"/>
  <c r="AJ658" i="6"/>
  <c r="AH658" i="6" s="1"/>
  <c r="AJ659" i="6"/>
  <c r="AH659" i="6" s="1"/>
  <c r="AA670" i="6"/>
  <c r="AB670" i="8"/>
  <c r="AB668" i="8" s="1"/>
  <c r="AB668" i="6"/>
  <c r="AB671" i="6" s="1"/>
  <c r="G442" i="8"/>
  <c r="G440" i="8" s="1"/>
  <c r="G440" i="6"/>
  <c r="G443" i="6" s="1"/>
  <c r="Q673" i="6"/>
  <c r="Q673" i="8" s="1"/>
  <c r="Q671" i="8"/>
  <c r="Q676" i="6"/>
  <c r="Q676" i="8" s="1"/>
  <c r="H443" i="8"/>
  <c r="H448" i="6"/>
  <c r="H448" i="8" s="1"/>
  <c r="H445" i="6"/>
  <c r="H445" i="8" s="1"/>
  <c r="AG425" i="6"/>
  <c r="AA442" i="8"/>
  <c r="AA440" i="8" s="1"/>
  <c r="AA440" i="6"/>
  <c r="AA443" i="6" s="1"/>
  <c r="Z442" i="6"/>
  <c r="P442" i="8"/>
  <c r="P440" i="8" s="1"/>
  <c r="P440" i="6"/>
  <c r="P443" i="6" s="1"/>
  <c r="AI431" i="6"/>
  <c r="AG431" i="6" s="1"/>
  <c r="AI429" i="6"/>
  <c r="AG429" i="6" s="1"/>
  <c r="AI430" i="6"/>
  <c r="AG430" i="6" s="1"/>
  <c r="AJ429" i="6"/>
  <c r="AH429" i="6" s="1"/>
  <c r="AJ431" i="6"/>
  <c r="AH431" i="6" s="1"/>
  <c r="AJ430" i="6"/>
  <c r="AH430" i="6" s="1"/>
  <c r="Q445" i="6"/>
  <c r="Q445" i="8" s="1"/>
  <c r="Q448" i="6"/>
  <c r="Q448" i="8" s="1"/>
  <c r="Q443" i="8"/>
  <c r="BH83" i="2" l="1"/>
  <c r="BH86" i="2" s="1"/>
  <c r="BH88" i="2" s="1"/>
  <c r="AB443" i="8"/>
  <c r="AX100" i="2"/>
  <c r="BH102" i="2" s="1"/>
  <c r="Y668" i="6"/>
  <c r="Y671" i="6" s="1"/>
  <c r="Y670" i="8"/>
  <c r="Y668" i="8" s="1"/>
  <c r="Z671" i="8"/>
  <c r="Z676" i="6"/>
  <c r="Z676" i="8" s="1"/>
  <c r="Z673" i="6"/>
  <c r="Z673" i="8" s="1"/>
  <c r="AB445" i="6"/>
  <c r="AB445" i="8" s="1"/>
  <c r="AB671" i="8"/>
  <c r="AB673" i="6"/>
  <c r="AB673" i="8" s="1"/>
  <c r="AB676" i="6"/>
  <c r="AB676" i="8" s="1"/>
  <c r="G448" i="6"/>
  <c r="G448" i="8" s="1"/>
  <c r="G443" i="8"/>
  <c r="G445" i="6"/>
  <c r="G445" i="8" s="1"/>
  <c r="AA668" i="6"/>
  <c r="AA671" i="6" s="1"/>
  <c r="AA670" i="8"/>
  <c r="AA668" i="8" s="1"/>
  <c r="AH660" i="6"/>
  <c r="P448" i="6"/>
  <c r="P448" i="8" s="1"/>
  <c r="P443" i="8"/>
  <c r="P445" i="6"/>
  <c r="P445" i="8" s="1"/>
  <c r="Z442" i="8"/>
  <c r="Z440" i="8" s="1"/>
  <c r="Y442" i="6"/>
  <c r="Z440" i="6"/>
  <c r="Z443" i="6" s="1"/>
  <c r="AA443" i="8"/>
  <c r="AA448" i="6"/>
  <c r="AA448" i="8" s="1"/>
  <c r="AA445" i="6"/>
  <c r="AA445" i="8" s="1"/>
  <c r="AG432" i="6"/>
  <c r="AH432" i="6"/>
  <c r="BH91" i="2" l="1"/>
  <c r="BH93" i="2" s="1"/>
  <c r="BH94" i="2" s="1"/>
  <c r="P822" i="6"/>
  <c r="G822" i="6"/>
  <c r="AG800" i="6"/>
  <c r="AW73" i="5"/>
  <c r="Y676" i="6"/>
  <c r="Y676" i="8" s="1"/>
  <c r="Y671" i="8"/>
  <c r="Y673" i="6"/>
  <c r="Y673" i="8" s="1"/>
  <c r="AA671" i="8"/>
  <c r="AA676" i="6"/>
  <c r="AA676" i="8" s="1"/>
  <c r="AA673" i="6"/>
  <c r="AA673" i="8" s="1"/>
  <c r="BI85" i="2"/>
  <c r="AY100" i="2"/>
  <c r="BI102" i="2" s="1"/>
  <c r="Y440" i="6"/>
  <c r="Y443" i="6" s="1"/>
  <c r="Y442" i="8"/>
  <c r="Y440" i="8" s="1"/>
  <c r="Z448" i="6"/>
  <c r="Z448" i="8" s="1"/>
  <c r="Z443" i="8"/>
  <c r="Z445" i="6"/>
  <c r="Z445" i="8" s="1"/>
  <c r="AI100" i="2"/>
  <c r="AS102" i="2" s="1"/>
  <c r="AS85" i="2"/>
  <c r="AS83" i="2" s="1"/>
  <c r="AS86" i="2" s="1"/>
  <c r="AT85" i="2"/>
  <c r="AT83" i="2" s="1"/>
  <c r="AT86" i="2" s="1"/>
  <c r="AJ100" i="2"/>
  <c r="AT102" i="2" s="1"/>
  <c r="BI83" i="2" l="1"/>
  <c r="BI86" i="2" s="1"/>
  <c r="BI91" i="2" s="1"/>
  <c r="BI93" i="2" s="1"/>
  <c r="BI94" i="2" s="1"/>
  <c r="G820" i="6"/>
  <c r="G822" i="8"/>
  <c r="G820" i="8" s="1"/>
  <c r="Q822" i="6"/>
  <c r="H822" i="6"/>
  <c r="Q594" i="6"/>
  <c r="H594" i="6"/>
  <c r="AJ73" i="5"/>
  <c r="P594" i="6"/>
  <c r="AI73" i="5"/>
  <c r="G594" i="6"/>
  <c r="AH800" i="6"/>
  <c r="AX73" i="5"/>
  <c r="Z822" i="6"/>
  <c r="P820" i="6"/>
  <c r="P823" i="6" s="1"/>
  <c r="P822" i="8"/>
  <c r="P820" i="8" s="1"/>
  <c r="BI88" i="2"/>
  <c r="AH572" i="6"/>
  <c r="AH573" i="6" s="1"/>
  <c r="AH577" i="6" s="1"/>
  <c r="AL73" i="5"/>
  <c r="AG572" i="6"/>
  <c r="AG573" i="6" s="1"/>
  <c r="AG579" i="6" s="1"/>
  <c r="AK73" i="5"/>
  <c r="Y443" i="8"/>
  <c r="Y445" i="6"/>
  <c r="Y445" i="8" s="1"/>
  <c r="Y448" i="6"/>
  <c r="Y448" i="8" s="1"/>
  <c r="AS88" i="2"/>
  <c r="AS91" i="2"/>
  <c r="AS93" i="2" s="1"/>
  <c r="AS94" i="2" s="1"/>
  <c r="AT88" i="2"/>
  <c r="AT91" i="2"/>
  <c r="AT93" i="2" s="1"/>
  <c r="AT94" i="2" s="1"/>
  <c r="Z594" i="6" l="1"/>
  <c r="H820" i="6"/>
  <c r="H822" i="8"/>
  <c r="H820" i="8" s="1"/>
  <c r="G594" i="8"/>
  <c r="G592" i="8" s="1"/>
  <c r="G592" i="6"/>
  <c r="G595" i="6" s="1"/>
  <c r="H594" i="8"/>
  <c r="H592" i="8" s="1"/>
  <c r="H592" i="6"/>
  <c r="H595" i="6" s="1"/>
  <c r="AB822" i="6"/>
  <c r="Q822" i="8"/>
  <c r="Q820" i="8" s="1"/>
  <c r="Q820" i="6"/>
  <c r="Q823" i="6" s="1"/>
  <c r="P825" i="6"/>
  <c r="P825" i="8" s="1"/>
  <c r="P828" i="6"/>
  <c r="P828" i="8" s="1"/>
  <c r="P823" i="8"/>
  <c r="Z820" i="6"/>
  <c r="Z822" i="8"/>
  <c r="Z820" i="8" s="1"/>
  <c r="Y822" i="6"/>
  <c r="AH579" i="6"/>
  <c r="AJ581" i="6" s="1"/>
  <c r="AG577" i="6"/>
  <c r="P594" i="8"/>
  <c r="P592" i="8" s="1"/>
  <c r="P592" i="6"/>
  <c r="P595" i="6" s="1"/>
  <c r="AB594" i="6"/>
  <c r="Q592" i="6"/>
  <c r="Q595" i="6" s="1"/>
  <c r="Q594" i="8"/>
  <c r="Q592" i="8" s="1"/>
  <c r="AI582" i="6"/>
  <c r="AG582" i="6" s="1"/>
  <c r="AI583" i="6"/>
  <c r="AG583" i="6" s="1"/>
  <c r="AI581" i="6"/>
  <c r="AG581" i="6" s="1"/>
  <c r="G600" i="6" l="1"/>
  <c r="G600" i="8" s="1"/>
  <c r="G595" i="8"/>
  <c r="G597" i="6"/>
  <c r="G597" i="8" s="1"/>
  <c r="H595" i="8"/>
  <c r="H600" i="6"/>
  <c r="H600" i="8" s="1"/>
  <c r="H597" i="6"/>
  <c r="H597" i="8" s="1"/>
  <c r="Q828" i="6"/>
  <c r="Q828" i="8" s="1"/>
  <c r="Q825" i="6"/>
  <c r="Q825" i="8" s="1"/>
  <c r="Q823" i="8"/>
  <c r="Y820" i="6"/>
  <c r="Y822" i="8"/>
  <c r="Y820" i="8" s="1"/>
  <c r="AB820" i="6"/>
  <c r="AA822" i="6"/>
  <c r="AB822" i="8"/>
  <c r="AB820" i="8" s="1"/>
  <c r="AJ583" i="6"/>
  <c r="AH583" i="6" s="1"/>
  <c r="AH581" i="6"/>
  <c r="AJ582" i="6"/>
  <c r="AH582" i="6" s="1"/>
  <c r="AB594" i="8"/>
  <c r="AB592" i="8" s="1"/>
  <c r="AA594" i="6"/>
  <c r="AB592" i="6"/>
  <c r="AB595" i="6" s="1"/>
  <c r="P595" i="8"/>
  <c r="P600" i="6"/>
  <c r="P600" i="8" s="1"/>
  <c r="P597" i="6"/>
  <c r="P597" i="8" s="1"/>
  <c r="Q600" i="6"/>
  <c r="Q600" i="8" s="1"/>
  <c r="Q597" i="6"/>
  <c r="Q597" i="8" s="1"/>
  <c r="Q595" i="8"/>
  <c r="Z592" i="6"/>
  <c r="Z595" i="6" s="1"/>
  <c r="Z594" i="8"/>
  <c r="Z592" i="8" s="1"/>
  <c r="Y594" i="6"/>
  <c r="AG584" i="6"/>
  <c r="AS100" i="2" s="1"/>
  <c r="BC102" i="2" s="1"/>
  <c r="P746" i="6" l="1"/>
  <c r="G746" i="6"/>
  <c r="AQ73" i="5"/>
  <c r="AA820" i="6"/>
  <c r="AA822" i="8"/>
  <c r="AA820" i="8" s="1"/>
  <c r="AH584" i="6"/>
  <c r="BD85" i="2" s="1"/>
  <c r="BD83" i="2" s="1"/>
  <c r="BD86" i="2" s="1"/>
  <c r="BD91" i="2" s="1"/>
  <c r="BD93" i="2" s="1"/>
  <c r="BD94" i="2" s="1"/>
  <c r="AG724" i="6"/>
  <c r="AG725" i="6" s="1"/>
  <c r="AG731" i="6" s="1"/>
  <c r="AI734" i="6" s="1"/>
  <c r="AG734" i="6" s="1"/>
  <c r="AS73" i="5"/>
  <c r="Y592" i="6"/>
  <c r="Y595" i="6" s="1"/>
  <c r="Y594" i="8"/>
  <c r="Y592" i="8" s="1"/>
  <c r="AB595" i="8"/>
  <c r="AB597" i="6"/>
  <c r="AB597" i="8" s="1"/>
  <c r="AB600" i="6"/>
  <c r="AB600" i="8" s="1"/>
  <c r="Z595" i="8"/>
  <c r="Z600" i="6"/>
  <c r="Z600" i="8" s="1"/>
  <c r="Z597" i="6"/>
  <c r="Z597" i="8" s="1"/>
  <c r="AA592" i="6"/>
  <c r="AA595" i="6" s="1"/>
  <c r="AA594" i="8"/>
  <c r="AA592" i="8" s="1"/>
  <c r="BC85" i="2"/>
  <c r="BC83" i="2" s="1"/>
  <c r="BC86" i="2" s="1"/>
  <c r="G746" i="8" l="1"/>
  <c r="G744" i="8" s="1"/>
  <c r="G744" i="6"/>
  <c r="G747" i="6" s="1"/>
  <c r="BD88" i="2"/>
  <c r="AT100" i="2"/>
  <c r="BD102" i="2" s="1"/>
  <c r="H746" i="6" s="1"/>
  <c r="AI735" i="6"/>
  <c r="AG735" i="6" s="1"/>
  <c r="AI733" i="6"/>
  <c r="AG733" i="6" s="1"/>
  <c r="AG729" i="6"/>
  <c r="Z746" i="6"/>
  <c r="P744" i="6"/>
  <c r="P747" i="6" s="1"/>
  <c r="P746" i="8"/>
  <c r="P744" i="8" s="1"/>
  <c r="AA597" i="6"/>
  <c r="AA597" i="8" s="1"/>
  <c r="AA595" i="8"/>
  <c r="AA600" i="6"/>
  <c r="AA600" i="8" s="1"/>
  <c r="Y597" i="6"/>
  <c r="Y597" i="8" s="1"/>
  <c r="Y595" i="8"/>
  <c r="Y600" i="6"/>
  <c r="Y600" i="8" s="1"/>
  <c r="BC91" i="2"/>
  <c r="BC93" i="2" s="1"/>
  <c r="BC94" i="2" s="1"/>
  <c r="BC88" i="2"/>
  <c r="H746" i="8" l="1"/>
  <c r="H744" i="8" s="1"/>
  <c r="H744" i="6"/>
  <c r="H747" i="6" s="1"/>
  <c r="G747" i="8"/>
  <c r="G749" i="6"/>
  <c r="G749" i="8" s="1"/>
  <c r="G752" i="6"/>
  <c r="G752" i="8" s="1"/>
  <c r="AH724" i="6"/>
  <c r="AH725" i="6" s="1"/>
  <c r="AH731" i="6" s="1"/>
  <c r="AJ735" i="6" s="1"/>
  <c r="AH735" i="6" s="1"/>
  <c r="Q746" i="6"/>
  <c r="Q744" i="6" s="1"/>
  <c r="Q747" i="6" s="1"/>
  <c r="AR73" i="5"/>
  <c r="AT73" i="5"/>
  <c r="AG736" i="6"/>
  <c r="BC100" i="2" s="1"/>
  <c r="P752" i="6"/>
  <c r="P752" i="8" s="1"/>
  <c r="P747" i="8"/>
  <c r="P749" i="6"/>
  <c r="P749" i="8" s="1"/>
  <c r="Z746" i="8"/>
  <c r="Z744" i="8" s="1"/>
  <c r="Z744" i="6"/>
  <c r="Z747" i="6" s="1"/>
  <c r="Y746" i="6"/>
  <c r="H747" i="8" l="1"/>
  <c r="H749" i="6"/>
  <c r="H749" i="8" s="1"/>
  <c r="H752" i="6"/>
  <c r="H752" i="8" s="1"/>
  <c r="AH729" i="6"/>
  <c r="AJ734" i="6"/>
  <c r="AH734" i="6" s="1"/>
  <c r="AJ733" i="6"/>
  <c r="AH733" i="6" s="1"/>
  <c r="AB746" i="6"/>
  <c r="AB744" i="6" s="1"/>
  <c r="AB747" i="6" s="1"/>
  <c r="Q746" i="8"/>
  <c r="Q744" i="8" s="1"/>
  <c r="Y744" i="6"/>
  <c r="Y747" i="6" s="1"/>
  <c r="Y746" i="8"/>
  <c r="Y744" i="8" s="1"/>
  <c r="Q749" i="6"/>
  <c r="Q749" i="8" s="1"/>
  <c r="Q752" i="6"/>
  <c r="Q752" i="8" s="1"/>
  <c r="Q747" i="8"/>
  <c r="Z749" i="6"/>
  <c r="Z749" i="8" s="1"/>
  <c r="Z752" i="6"/>
  <c r="Z752" i="8" s="1"/>
  <c r="Z747" i="8"/>
  <c r="AH736" i="6" l="1"/>
  <c r="BD100" i="2" s="1"/>
  <c r="AB746" i="8"/>
  <c r="AB744" i="8" s="1"/>
  <c r="AA746" i="6"/>
  <c r="AA746" i="8" s="1"/>
  <c r="AA744" i="8" s="1"/>
  <c r="AB749" i="6"/>
  <c r="AB749" i="8" s="1"/>
  <c r="AB752" i="6"/>
  <c r="AB752" i="8" s="1"/>
  <c r="AB747" i="8"/>
  <c r="Y752" i="6"/>
  <c r="Y752" i="8" s="1"/>
  <c r="Y749" i="6"/>
  <c r="Y749" i="8" s="1"/>
  <c r="Y747" i="8"/>
  <c r="AA744" i="6" l="1"/>
  <c r="AA747" i="6" s="1"/>
  <c r="AA747" i="8" s="1"/>
  <c r="AA752" i="6" l="1"/>
  <c r="AA752" i="8" s="1"/>
  <c r="AA749" i="6"/>
  <c r="AA749" i="8" s="1"/>
  <c r="G289" i="6" l="1"/>
  <c r="H289" i="6"/>
  <c r="H289" i="8" l="1"/>
  <c r="H288" i="8" s="1"/>
  <c r="AB289" i="6"/>
  <c r="G288" i="6"/>
  <c r="G291" i="6" s="1"/>
  <c r="G291" i="8" s="1"/>
  <c r="Z289" i="6"/>
  <c r="G289" i="8"/>
  <c r="G288" i="8" s="1"/>
  <c r="H288" i="6"/>
  <c r="H291" i="6" s="1"/>
  <c r="H291" i="8" s="1"/>
  <c r="G824" i="6"/>
  <c r="Z824" i="6" s="1"/>
  <c r="F797" i="6"/>
  <c r="AU72" i="5"/>
  <c r="AU58" i="5"/>
  <c r="F783" i="6"/>
  <c r="X783" i="6" s="1"/>
  <c r="F787" i="6"/>
  <c r="AU62" i="5"/>
  <c r="F795" i="6"/>
  <c r="X795" i="6" s="1"/>
  <c r="AU70" i="5"/>
  <c r="H824" i="6"/>
  <c r="AB824" i="6" s="1"/>
  <c r="F781" i="6"/>
  <c r="AU56" i="5"/>
  <c r="F799" i="6"/>
  <c r="AU74" i="5"/>
  <c r="AU66" i="5"/>
  <c r="F791" i="6"/>
  <c r="F789" i="6"/>
  <c r="X789" i="6" s="1"/>
  <c r="AU76" i="5"/>
  <c r="AU77" i="5" s="1"/>
  <c r="AU64" i="5"/>
  <c r="H800" i="6"/>
  <c r="AV75" i="5"/>
  <c r="H798" i="6"/>
  <c r="AV73" i="5"/>
  <c r="AV71" i="5"/>
  <c r="H796" i="6"/>
  <c r="AV69" i="5"/>
  <c r="H794" i="6"/>
  <c r="AA794" i="6" s="1"/>
  <c r="H792" i="6"/>
  <c r="AV67" i="5"/>
  <c r="AV65" i="5"/>
  <c r="H790" i="6"/>
  <c r="AV61" i="5"/>
  <c r="H786" i="6"/>
  <c r="AA786" i="6" s="1"/>
  <c r="H784" i="6"/>
  <c r="AV59" i="5"/>
  <c r="H780" i="6"/>
  <c r="AV55" i="5"/>
  <c r="AU75" i="5"/>
  <c r="F800" i="6"/>
  <c r="F798" i="6"/>
  <c r="AU73" i="5"/>
  <c r="F796" i="6"/>
  <c r="AU71" i="5"/>
  <c r="F792" i="6"/>
  <c r="AU67" i="5"/>
  <c r="F790" i="6"/>
  <c r="AU65" i="5"/>
  <c r="F786" i="6"/>
  <c r="X786" i="6" s="1"/>
  <c r="AU61" i="5"/>
  <c r="AU59" i="5"/>
  <c r="F784" i="6"/>
  <c r="F780" i="6"/>
  <c r="AU55" i="5"/>
  <c r="AV74" i="5"/>
  <c r="H799" i="6"/>
  <c r="H797" i="6"/>
  <c r="AV72" i="5"/>
  <c r="AV70" i="5"/>
  <c r="H795" i="6"/>
  <c r="AV66" i="5"/>
  <c r="H791" i="6"/>
  <c r="AV64" i="5"/>
  <c r="H789" i="6"/>
  <c r="AA789" i="6" s="1"/>
  <c r="AV76" i="5"/>
  <c r="AV77" i="5" s="1"/>
  <c r="H787" i="6"/>
  <c r="AV62" i="5"/>
  <c r="AV58" i="5"/>
  <c r="H783" i="6"/>
  <c r="AA783" i="6" s="1"/>
  <c r="H781" i="6"/>
  <c r="AV56" i="5"/>
  <c r="G296" i="6" l="1"/>
  <c r="G296" i="8" s="1"/>
  <c r="H296" i="6"/>
  <c r="H296" i="8" s="1"/>
  <c r="H293" i="6"/>
  <c r="H293" i="8" s="1"/>
  <c r="G293" i="6"/>
  <c r="G293" i="8" s="1"/>
  <c r="AB288" i="6"/>
  <c r="AB291" i="6" s="1"/>
  <c r="AA289" i="6"/>
  <c r="AB289" i="8"/>
  <c r="AB288" i="8" s="1"/>
  <c r="AA794" i="8"/>
  <c r="AB794" i="6"/>
  <c r="AB794" i="8" s="1"/>
  <c r="Z289" i="8"/>
  <c r="Z288" i="8" s="1"/>
  <c r="Z288" i="6"/>
  <c r="Z291" i="6" s="1"/>
  <c r="Y289" i="6"/>
  <c r="H790" i="8"/>
  <c r="Z790" i="6"/>
  <c r="AA790" i="6"/>
  <c r="AA790" i="8" s="1"/>
  <c r="F781" i="8"/>
  <c r="X781" i="6"/>
  <c r="F797" i="8"/>
  <c r="X797" i="6"/>
  <c r="AA783" i="8"/>
  <c r="AB783" i="6"/>
  <c r="H797" i="8"/>
  <c r="AA797" i="6"/>
  <c r="F780" i="8"/>
  <c r="X780" i="6"/>
  <c r="X786" i="8"/>
  <c r="Y786" i="6"/>
  <c r="F792" i="8"/>
  <c r="W792" i="6"/>
  <c r="X792" i="6"/>
  <c r="X792" i="8" s="1"/>
  <c r="F798" i="8"/>
  <c r="X798" i="6"/>
  <c r="H784" i="8"/>
  <c r="AA784" i="6"/>
  <c r="H798" i="8"/>
  <c r="AA798" i="6"/>
  <c r="AB824" i="8"/>
  <c r="AB827" i="6"/>
  <c r="AB827" i="8" s="1"/>
  <c r="F787" i="8"/>
  <c r="X787" i="6"/>
  <c r="X783" i="8"/>
  <c r="Y783" i="6"/>
  <c r="Z824" i="8"/>
  <c r="Z827" i="6"/>
  <c r="Z827" i="8" s="1"/>
  <c r="AB789" i="6"/>
  <c r="AA789" i="8"/>
  <c r="H795" i="8"/>
  <c r="AA795" i="6"/>
  <c r="H799" i="8"/>
  <c r="AA799" i="6"/>
  <c r="F784" i="8"/>
  <c r="X784" i="6"/>
  <c r="F800" i="8"/>
  <c r="X800" i="6"/>
  <c r="AB786" i="6"/>
  <c r="AA786" i="8"/>
  <c r="H796" i="8"/>
  <c r="AA796" i="6"/>
  <c r="X789" i="8"/>
  <c r="Y789" i="6"/>
  <c r="F799" i="8"/>
  <c r="X799" i="6"/>
  <c r="H781" i="8"/>
  <c r="AA781" i="6"/>
  <c r="H787" i="8"/>
  <c r="AA787" i="6"/>
  <c r="H791" i="8"/>
  <c r="AA791" i="6"/>
  <c r="F790" i="8"/>
  <c r="W790" i="6"/>
  <c r="X790" i="6"/>
  <c r="X790" i="8" s="1"/>
  <c r="F796" i="8"/>
  <c r="X796" i="6"/>
  <c r="X793" i="6" s="1"/>
  <c r="X793" i="8" s="1"/>
  <c r="H780" i="8"/>
  <c r="AA780" i="6"/>
  <c r="H792" i="8"/>
  <c r="Z792" i="6"/>
  <c r="AA792" i="6"/>
  <c r="AA792" i="8" s="1"/>
  <c r="H800" i="8"/>
  <c r="AA800" i="6"/>
  <c r="F791" i="8"/>
  <c r="X791" i="6"/>
  <c r="Y795" i="6"/>
  <c r="X795" i="8"/>
  <c r="H783" i="8"/>
  <c r="H782" i="6"/>
  <c r="H782" i="8" s="1"/>
  <c r="H786" i="8"/>
  <c r="H785" i="6"/>
  <c r="H785" i="8" s="1"/>
  <c r="F789" i="8"/>
  <c r="F788" i="6"/>
  <c r="F788" i="8" s="1"/>
  <c r="F793" i="6"/>
  <c r="F793" i="8" s="1"/>
  <c r="F795" i="8"/>
  <c r="F782" i="6"/>
  <c r="F782" i="8" s="1"/>
  <c r="F783" i="8"/>
  <c r="F785" i="6"/>
  <c r="F785" i="8" s="1"/>
  <c r="F786" i="8"/>
  <c r="H789" i="8"/>
  <c r="H788" i="6"/>
  <c r="H788" i="8" s="1"/>
  <c r="H794" i="8"/>
  <c r="H793" i="6"/>
  <c r="H793" i="8" s="1"/>
  <c r="H827" i="6"/>
  <c r="H827" i="8" s="1"/>
  <c r="H824" i="8"/>
  <c r="G824" i="8"/>
  <c r="G827" i="6"/>
  <c r="G827" i="8" s="1"/>
  <c r="H779" i="6"/>
  <c r="H779" i="8" s="1"/>
  <c r="F778" i="6"/>
  <c r="F778" i="8" s="1"/>
  <c r="F779" i="6"/>
  <c r="X779" i="6" s="1"/>
  <c r="F806" i="6"/>
  <c r="F806" i="8" s="1"/>
  <c r="F812" i="6"/>
  <c r="X812" i="6" s="1"/>
  <c r="H808" i="6"/>
  <c r="H808" i="8" s="1"/>
  <c r="H810" i="6"/>
  <c r="AA810" i="6" s="1"/>
  <c r="H813" i="6"/>
  <c r="AA813" i="6" s="1"/>
  <c r="H811" i="6"/>
  <c r="H809" i="6"/>
  <c r="AV68" i="5"/>
  <c r="AV63" i="5"/>
  <c r="AV60" i="5"/>
  <c r="F813" i="6"/>
  <c r="F807" i="6"/>
  <c r="AU68" i="5"/>
  <c r="AU69" i="5"/>
  <c r="AU63" i="5"/>
  <c r="AV57" i="5"/>
  <c r="H812" i="6"/>
  <c r="AU60" i="5"/>
  <c r="AU57" i="5"/>
  <c r="F812" i="8" l="1"/>
  <c r="G819" i="6"/>
  <c r="G819" i="8" s="1"/>
  <c r="H813" i="8"/>
  <c r="F807" i="8"/>
  <c r="X807" i="6"/>
  <c r="AB810" i="6"/>
  <c r="AB810" i="8" s="1"/>
  <c r="AA810" i="8"/>
  <c r="Y288" i="6"/>
  <c r="Y291" i="6" s="1"/>
  <c r="Y289" i="8"/>
  <c r="Y288" i="8" s="1"/>
  <c r="F813" i="8"/>
  <c r="X813" i="6"/>
  <c r="H829" i="6"/>
  <c r="H830" i="6" s="1"/>
  <c r="H831" i="6" s="1"/>
  <c r="AA808" i="6"/>
  <c r="F777" i="6"/>
  <c r="F777" i="8" s="1"/>
  <c r="X778" i="6"/>
  <c r="Z293" i="6"/>
  <c r="Z293" i="8" s="1"/>
  <c r="Z291" i="8"/>
  <c r="Z296" i="6"/>
  <c r="Z296" i="8" s="1"/>
  <c r="X779" i="8"/>
  <c r="Y779" i="6"/>
  <c r="Y779" i="8" s="1"/>
  <c r="H810" i="8"/>
  <c r="F779" i="8"/>
  <c r="H809" i="8"/>
  <c r="AA809" i="6"/>
  <c r="H819" i="6"/>
  <c r="H819" i="8" s="1"/>
  <c r="X812" i="8"/>
  <c r="Y812" i="6"/>
  <c r="Y812" i="8" s="1"/>
  <c r="H777" i="6"/>
  <c r="H802" i="6" s="1"/>
  <c r="AA779" i="6"/>
  <c r="AA777" i="6" s="1"/>
  <c r="AA288" i="6"/>
  <c r="AA291" i="6" s="1"/>
  <c r="AA289" i="8"/>
  <c r="AA288" i="8" s="1"/>
  <c r="H812" i="8"/>
  <c r="AA812" i="6"/>
  <c r="H811" i="8"/>
  <c r="AA811" i="6"/>
  <c r="AB813" i="6"/>
  <c r="AB813" i="8" s="1"/>
  <c r="AA813" i="8"/>
  <c r="G829" i="6"/>
  <c r="G829" i="8" s="1"/>
  <c r="X806" i="6"/>
  <c r="AB291" i="8"/>
  <c r="AB293" i="6"/>
  <c r="AB293" i="8" s="1"/>
  <c r="AB296" i="6"/>
  <c r="AB296" i="8" s="1"/>
  <c r="W790" i="8"/>
  <c r="W788" i="6"/>
  <c r="Y790" i="6"/>
  <c r="Y790" i="8" s="1"/>
  <c r="X799" i="8"/>
  <c r="Y799" i="6"/>
  <c r="Y799" i="8" s="1"/>
  <c r="X784" i="8"/>
  <c r="Y784" i="6"/>
  <c r="Y784" i="8" s="1"/>
  <c r="AA795" i="8"/>
  <c r="AA793" i="6"/>
  <c r="AA793" i="8" s="1"/>
  <c r="AB795" i="6"/>
  <c r="AB789" i="8"/>
  <c r="Y783" i="8"/>
  <c r="AB784" i="6"/>
  <c r="AB784" i="8" s="1"/>
  <c r="AA784" i="8"/>
  <c r="Y786" i="8"/>
  <c r="AB797" i="6"/>
  <c r="AB797" i="8" s="1"/>
  <c r="AA797" i="8"/>
  <c r="AA782" i="6"/>
  <c r="AA782" i="8" s="1"/>
  <c r="Y791" i="6"/>
  <c r="Y791" i="8" s="1"/>
  <c r="X791" i="8"/>
  <c r="AB787" i="6"/>
  <c r="AB787" i="8" s="1"/>
  <c r="AA787" i="8"/>
  <c r="AA785" i="6"/>
  <c r="AA785" i="8" s="1"/>
  <c r="Z792" i="8"/>
  <c r="AB792" i="6"/>
  <c r="AB792" i="8" s="1"/>
  <c r="X796" i="8"/>
  <c r="Y796" i="6"/>
  <c r="Y796" i="8" s="1"/>
  <c r="AB796" i="6"/>
  <c r="AB796" i="8" s="1"/>
  <c r="AA796" i="8"/>
  <c r="AB786" i="8"/>
  <c r="W792" i="8"/>
  <c r="Y792" i="6"/>
  <c r="Y792" i="8" s="1"/>
  <c r="Y797" i="6"/>
  <c r="Y797" i="8" s="1"/>
  <c r="X797" i="8"/>
  <c r="AA800" i="8"/>
  <c r="AB800" i="6"/>
  <c r="AB800" i="8" s="1"/>
  <c r="AB791" i="6"/>
  <c r="AB791" i="8" s="1"/>
  <c r="AA791" i="8"/>
  <c r="AA781" i="8"/>
  <c r="AB781" i="6"/>
  <c r="AB781" i="8" s="1"/>
  <c r="Y789" i="8"/>
  <c r="X800" i="8"/>
  <c r="Y800" i="6"/>
  <c r="Y800" i="8" s="1"/>
  <c r="AB799" i="6"/>
  <c r="AB799" i="8" s="1"/>
  <c r="AA799" i="8"/>
  <c r="AA788" i="6"/>
  <c r="AA788" i="8" s="1"/>
  <c r="X787" i="8"/>
  <c r="Y787" i="6"/>
  <c r="Y787" i="8" s="1"/>
  <c r="AA798" i="8"/>
  <c r="AB798" i="6"/>
  <c r="AB798" i="8" s="1"/>
  <c r="X798" i="8"/>
  <c r="Y798" i="6"/>
  <c r="Y798" i="8" s="1"/>
  <c r="X780" i="8"/>
  <c r="Y780" i="6"/>
  <c r="AB783" i="8"/>
  <c r="Z790" i="8"/>
  <c r="Z788" i="6"/>
  <c r="AB790" i="6"/>
  <c r="AB790" i="8" s="1"/>
  <c r="Y795" i="8"/>
  <c r="AB780" i="6"/>
  <c r="AA780" i="8"/>
  <c r="X788" i="6"/>
  <c r="X788" i="8" s="1"/>
  <c r="X782" i="6"/>
  <c r="X782" i="8" s="1"/>
  <c r="X785" i="6"/>
  <c r="X785" i="8" s="1"/>
  <c r="Y781" i="6"/>
  <c r="Y781" i="8" s="1"/>
  <c r="X781" i="8"/>
  <c r="H829" i="8"/>
  <c r="H777" i="8" l="1"/>
  <c r="G830" i="6"/>
  <c r="F802" i="6"/>
  <c r="G823" i="6" s="1"/>
  <c r="Z819" i="6"/>
  <c r="Z819" i="8" s="1"/>
  <c r="Z829" i="6"/>
  <c r="Y806" i="6"/>
  <c r="Y806" i="8" s="1"/>
  <c r="X806" i="8"/>
  <c r="Y813" i="6"/>
  <c r="Y813" i="8" s="1"/>
  <c r="X813" i="8"/>
  <c r="Y793" i="6"/>
  <c r="Y793" i="8" s="1"/>
  <c r="AA296" i="6"/>
  <c r="AA296" i="8" s="1"/>
  <c r="AA291" i="8"/>
  <c r="AA293" i="6"/>
  <c r="AA293" i="8" s="1"/>
  <c r="Y778" i="6"/>
  <c r="Y778" i="8" s="1"/>
  <c r="X778" i="8"/>
  <c r="AB782" i="6"/>
  <c r="AB782" i="8" s="1"/>
  <c r="X777" i="6"/>
  <c r="X777" i="8" s="1"/>
  <c r="AB785" i="6"/>
  <c r="AB785" i="8" s="1"/>
  <c r="AB812" i="6"/>
  <c r="AB812" i="8" s="1"/>
  <c r="AA812" i="8"/>
  <c r="AA779" i="8"/>
  <c r="AB779" i="6"/>
  <c r="AB779" i="8" s="1"/>
  <c r="AB819" i="6"/>
  <c r="AB819" i="8" s="1"/>
  <c r="AA808" i="8"/>
  <c r="AB829" i="6"/>
  <c r="AB808" i="6"/>
  <c r="AB808" i="8" s="1"/>
  <c r="X807" i="8"/>
  <c r="Y807" i="6"/>
  <c r="Y807" i="8" s="1"/>
  <c r="AA811" i="8"/>
  <c r="AB811" i="6"/>
  <c r="AB811" i="8" s="1"/>
  <c r="Y788" i="6"/>
  <c r="Y788" i="8" s="1"/>
  <c r="AA809" i="8"/>
  <c r="AB809" i="6"/>
  <c r="AB809" i="8" s="1"/>
  <c r="Y291" i="8"/>
  <c r="Y293" i="6"/>
  <c r="Y293" i="8" s="1"/>
  <c r="Y296" i="6"/>
  <c r="Y296" i="8" s="1"/>
  <c r="AB780" i="8"/>
  <c r="AB777" i="6"/>
  <c r="Z788" i="8"/>
  <c r="Z802" i="6"/>
  <c r="Y780" i="8"/>
  <c r="AB788" i="6"/>
  <c r="AB788" i="8" s="1"/>
  <c r="AA802" i="6"/>
  <c r="AA777" i="8"/>
  <c r="Y785" i="6"/>
  <c r="Y785" i="8" s="1"/>
  <c r="Y782" i="6"/>
  <c r="Y782" i="8" s="1"/>
  <c r="AB795" i="8"/>
  <c r="AB793" i="6"/>
  <c r="AB793" i="8" s="1"/>
  <c r="W788" i="8"/>
  <c r="W802" i="6"/>
  <c r="H830" i="8"/>
  <c r="H831" i="8"/>
  <c r="H802" i="8"/>
  <c r="H823" i="6"/>
  <c r="F802" i="8" l="1"/>
  <c r="Y777" i="6"/>
  <c r="Y777" i="8" s="1"/>
  <c r="G830" i="8"/>
  <c r="G831" i="6"/>
  <c r="G831" i="8" s="1"/>
  <c r="X802" i="6"/>
  <c r="AG798" i="6" s="1"/>
  <c r="AB830" i="6"/>
  <c r="AB831" i="6" s="1"/>
  <c r="AH797" i="6"/>
  <c r="AB829" i="8"/>
  <c r="Z830" i="6"/>
  <c r="Z831" i="6" s="1"/>
  <c r="AG797" i="6"/>
  <c r="Z829" i="8"/>
  <c r="AH798" i="6"/>
  <c r="AA802" i="8"/>
  <c r="AB823" i="6"/>
  <c r="Z802" i="8"/>
  <c r="AH799" i="6"/>
  <c r="AA823" i="6"/>
  <c r="Y802" i="6"/>
  <c r="Y802" i="8" s="1"/>
  <c r="AB777" i="8"/>
  <c r="AB802" i="6"/>
  <c r="AB802" i="8" s="1"/>
  <c r="AG799" i="6"/>
  <c r="W802" i="8"/>
  <c r="Y823" i="6"/>
  <c r="G825" i="6"/>
  <c r="G825" i="8" s="1"/>
  <c r="G828" i="6"/>
  <c r="G828" i="8" s="1"/>
  <c r="G823" i="8"/>
  <c r="H825" i="6"/>
  <c r="H825" i="8" s="1"/>
  <c r="H823" i="8"/>
  <c r="H828" i="6"/>
  <c r="H828" i="8" s="1"/>
  <c r="X802" i="8" l="1"/>
  <c r="Z823" i="6"/>
  <c r="Z825" i="6" s="1"/>
  <c r="Z825" i="8" s="1"/>
  <c r="AG795" i="6"/>
  <c r="AG801" i="6" s="1"/>
  <c r="Z830" i="8"/>
  <c r="Z831" i="8"/>
  <c r="AB831" i="8"/>
  <c r="AH795" i="6"/>
  <c r="AH801" i="6" s="1"/>
  <c r="AB830" i="8"/>
  <c r="Y823" i="8"/>
  <c r="Y828" i="6"/>
  <c r="Y828" i="8" s="1"/>
  <c r="Y825" i="6"/>
  <c r="Y825" i="8" s="1"/>
  <c r="AB825" i="6"/>
  <c r="AB825" i="8" s="1"/>
  <c r="AB828" i="6"/>
  <c r="AB828" i="8" s="1"/>
  <c r="AB823" i="8"/>
  <c r="AA823" i="8"/>
  <c r="AA828" i="6"/>
  <c r="AA828" i="8" s="1"/>
  <c r="AA825" i="6"/>
  <c r="AA825" i="8" s="1"/>
  <c r="Z828" i="6" l="1"/>
  <c r="Z828" i="8" s="1"/>
  <c r="Z823" i="8"/>
  <c r="AG805" i="6"/>
  <c r="AG807" i="6"/>
  <c r="AH805" i="6"/>
  <c r="AH807" i="6"/>
  <c r="AJ810" i="6" l="1"/>
  <c r="AH810" i="6" s="1"/>
  <c r="AJ809" i="6"/>
  <c r="AH809" i="6" s="1"/>
  <c r="AJ811" i="6"/>
  <c r="AH811" i="6" s="1"/>
  <c r="AI810" i="6"/>
  <c r="AG810" i="6" s="1"/>
  <c r="AI809" i="6"/>
  <c r="AI811" i="6"/>
  <c r="AG811" i="6" s="1"/>
  <c r="AG809" i="6"/>
  <c r="AG812" i="6" l="1"/>
  <c r="BH100" i="2" s="1"/>
  <c r="AH812" i="6"/>
  <c r="BI100" i="2" s="1"/>
  <c r="BL23" i="2" l="1"/>
  <c r="BM23" i="2"/>
  <c r="BL24" i="2"/>
  <c r="BM24" i="2"/>
  <c r="BL25" i="2"/>
  <c r="BM25" i="2"/>
  <c r="BL26" i="2"/>
  <c r="BM26" i="2"/>
  <c r="BL28" i="2"/>
  <c r="BM28" i="2"/>
  <c r="BL29" i="2"/>
  <c r="BM29" i="2"/>
  <c r="BL31" i="2"/>
  <c r="BM31" i="2"/>
  <c r="BL32" i="2"/>
  <c r="BM32" i="2"/>
  <c r="BL34" i="2"/>
  <c r="BM34" i="2"/>
  <c r="BL35" i="2"/>
  <c r="BM35" i="2"/>
  <c r="BL36" i="2"/>
  <c r="BM36" i="2"/>
  <c r="BL37" i="2"/>
  <c r="BM37" i="2"/>
  <c r="BL39" i="2"/>
  <c r="BM39" i="2"/>
  <c r="BL40" i="2"/>
  <c r="BM40" i="2"/>
  <c r="BL41" i="2"/>
  <c r="BM41" i="2"/>
  <c r="BM38" i="2" s="1"/>
  <c r="BL42" i="2"/>
  <c r="BM42" i="2"/>
  <c r="BL43" i="2"/>
  <c r="BM43" i="2"/>
  <c r="BL44" i="2"/>
  <c r="BM44" i="2"/>
  <c r="BL45" i="2"/>
  <c r="BM45" i="2"/>
  <c r="BL49" i="2"/>
  <c r="BM49" i="2"/>
  <c r="BL50" i="2"/>
  <c r="BM50" i="2"/>
  <c r="BL51" i="2"/>
  <c r="BM51" i="2"/>
  <c r="BL52" i="2"/>
  <c r="BM52" i="2"/>
  <c r="BL53" i="2"/>
  <c r="BM53" i="2"/>
  <c r="BL54" i="2"/>
  <c r="BM54" i="2"/>
  <c r="BL55" i="2"/>
  <c r="BM55" i="2"/>
  <c r="BL56" i="2"/>
  <c r="BM56" i="2"/>
  <c r="BL66" i="2"/>
  <c r="BL68" i="2" s="1"/>
  <c r="BL74" i="2" s="1"/>
  <c r="BL87" i="2" s="1"/>
  <c r="BL90" i="2" s="1"/>
  <c r="BM66" i="2"/>
  <c r="BM68" i="2" s="1"/>
  <c r="BM74" i="2" s="1"/>
  <c r="BM87" i="2" s="1"/>
  <c r="BM90" i="2" s="1"/>
  <c r="BL84" i="2"/>
  <c r="BM84" i="2"/>
  <c r="BL85" i="2"/>
  <c r="BM85" i="2"/>
  <c r="BM97" i="2"/>
  <c r="BM82" i="2" l="1"/>
  <c r="BL82" i="2"/>
  <c r="BM27" i="2"/>
  <c r="BL27" i="2"/>
  <c r="BM33" i="2"/>
  <c r="BL33" i="2"/>
  <c r="BM92" i="2"/>
  <c r="BM93" i="2" s="1"/>
  <c r="BM94" i="2" s="1"/>
  <c r="BL30" i="2"/>
  <c r="BM30" i="2"/>
  <c r="BL38" i="2"/>
  <c r="BL92" i="2"/>
  <c r="BL93" i="2" s="1"/>
  <c r="BL94" i="2" s="1"/>
  <c r="BM83" i="2"/>
  <c r="BL22" i="2"/>
  <c r="BL83" i="2"/>
  <c r="BM22" i="2"/>
  <c r="BL47" i="2" l="1"/>
  <c r="BL86" i="2" s="1"/>
  <c r="BL91" i="2" s="1"/>
  <c r="BM47" i="2"/>
  <c r="BM86" i="2" s="1"/>
  <c r="BM88" i="2" s="1"/>
  <c r="BL88" i="2"/>
  <c r="BM91" i="2" l="1"/>
</calcChain>
</file>

<file path=xl/sharedStrings.xml><?xml version="1.0" encoding="utf-8"?>
<sst xmlns="http://schemas.openxmlformats.org/spreadsheetml/2006/main" count="15253" uniqueCount="476">
  <si>
    <t>Náklady pro výpočet ceny pro vodné a stočné</t>
  </si>
  <si>
    <t>Nákladové položky</t>
  </si>
  <si>
    <t>Měrná</t>
  </si>
  <si>
    <t>Voda pitná</t>
  </si>
  <si>
    <t>Voda odpadní</t>
  </si>
  <si>
    <t>Řádek</t>
  </si>
  <si>
    <t>jedn.</t>
  </si>
  <si>
    <t>Kalkulace</t>
  </si>
  <si>
    <t>1.</t>
  </si>
  <si>
    <t>Materiál</t>
  </si>
  <si>
    <t>mil.Kč</t>
  </si>
  <si>
    <t>1.1</t>
  </si>
  <si>
    <t>- surová voda podzemní + povrchová</t>
  </si>
  <si>
    <t>1.2</t>
  </si>
  <si>
    <t>- pitná voda převzatá + odpadní voda předaná k čištění</t>
  </si>
  <si>
    <t>1.3</t>
  </si>
  <si>
    <t>- chemikálie</t>
  </si>
  <si>
    <t>1.4</t>
  </si>
  <si>
    <t>- ostatní materiál</t>
  </si>
  <si>
    <t>2.</t>
  </si>
  <si>
    <t>Energie</t>
  </si>
  <si>
    <t>2.1</t>
  </si>
  <si>
    <t>- elektrická energie</t>
  </si>
  <si>
    <t>2.2</t>
  </si>
  <si>
    <t>- ostatní energie (plyn, pevná a kapalná energie)</t>
  </si>
  <si>
    <t>3.</t>
  </si>
  <si>
    <t>3.1</t>
  </si>
  <si>
    <t>3.2</t>
  </si>
  <si>
    <t>4.</t>
  </si>
  <si>
    <t>Ostatní přímé náklady</t>
  </si>
  <si>
    <t>4.1</t>
  </si>
  <si>
    <t>- odpisy</t>
  </si>
  <si>
    <t>4.2</t>
  </si>
  <si>
    <t>4.3</t>
  </si>
  <si>
    <t>4.4</t>
  </si>
  <si>
    <t>5.</t>
  </si>
  <si>
    <t>Provozní náklady</t>
  </si>
  <si>
    <t>5.1</t>
  </si>
  <si>
    <t>- poplatky za vypouštění odpadních vod</t>
  </si>
  <si>
    <t>5.2</t>
  </si>
  <si>
    <t>- ostatní provozní náklady externí</t>
  </si>
  <si>
    <t>5.3</t>
  </si>
  <si>
    <t>- ostatní provozní náklady ve vlastní režii</t>
  </si>
  <si>
    <t>6.</t>
  </si>
  <si>
    <t>Finanční náklady</t>
  </si>
  <si>
    <t>7.</t>
  </si>
  <si>
    <t>8.</t>
  </si>
  <si>
    <t>Výrobní režie</t>
  </si>
  <si>
    <t>9.</t>
  </si>
  <si>
    <t>Správní režie</t>
  </si>
  <si>
    <t>10.</t>
  </si>
  <si>
    <t>A</t>
  </si>
  <si>
    <t>B</t>
  </si>
  <si>
    <t>C</t>
  </si>
  <si>
    <t>Počet pracovníků</t>
  </si>
  <si>
    <t>osob</t>
  </si>
  <si>
    <t>D</t>
  </si>
  <si>
    <t>Voda pitná fakturovaná</t>
  </si>
  <si>
    <t>mil.m3</t>
  </si>
  <si>
    <t>E</t>
  </si>
  <si>
    <t>- z toho domácnosti</t>
  </si>
  <si>
    <t>F</t>
  </si>
  <si>
    <t>Voda odpadní odv. fakturovaná</t>
  </si>
  <si>
    <t>G</t>
  </si>
  <si>
    <t>H</t>
  </si>
  <si>
    <t>Voda srážková fakturovaná</t>
  </si>
  <si>
    <t>I</t>
  </si>
  <si>
    <t>Voda odpadní čištěná</t>
  </si>
  <si>
    <t>Pitná nebo odpadní voda převzatá</t>
  </si>
  <si>
    <t>Pitná nebo odpadní voda předaná</t>
  </si>
  <si>
    <t>Kalkulovaná cena pro vodné a stočné</t>
  </si>
  <si>
    <t>Text</t>
  </si>
  <si>
    <t>11.</t>
  </si>
  <si>
    <t>Kč/m3</t>
  </si>
  <si>
    <t>12.</t>
  </si>
  <si>
    <t>13.</t>
  </si>
  <si>
    <t>14.</t>
  </si>
  <si>
    <t>%</t>
  </si>
  <si>
    <t>15.</t>
  </si>
  <si>
    <t>16.</t>
  </si>
  <si>
    <t>17.</t>
  </si>
  <si>
    <t>Voda fakturovaná pitná, odpadní+srážková</t>
  </si>
  <si>
    <t>18.</t>
  </si>
  <si>
    <t>19.</t>
  </si>
  <si>
    <t>II</t>
  </si>
  <si>
    <t>III</t>
  </si>
  <si>
    <t>IV</t>
  </si>
  <si>
    <t>V</t>
  </si>
  <si>
    <t>VI</t>
  </si>
  <si>
    <t>Příjemce vodného a stočného</t>
  </si>
  <si>
    <t>Provozovatel - název a IČ</t>
  </si>
  <si>
    <t>Vlastník - název IČ</t>
  </si>
  <si>
    <t>Index   1 až x</t>
  </si>
  <si>
    <t>Formulář    A až F</t>
  </si>
  <si>
    <t>IČPE související s cenou</t>
  </si>
  <si>
    <t>2a</t>
  </si>
  <si>
    <t>Hodnota souvisejícího infrastrukturního majetku podle VÚME</t>
  </si>
  <si>
    <t>Pořizovací cena souvisejícího provozního hmotného majetku</t>
  </si>
  <si>
    <t>Kalkul.</t>
  </si>
  <si>
    <t>2b</t>
  </si>
  <si>
    <t>4a</t>
  </si>
  <si>
    <t>7a</t>
  </si>
  <si>
    <t>Poznámka</t>
  </si>
  <si>
    <t>na kalendářní rok:</t>
  </si>
  <si>
    <t xml:space="preserve">JEDNOTKOVÉ NÁKLADY </t>
  </si>
  <si>
    <t>Legenda</t>
  </si>
  <si>
    <t>Úvod</t>
  </si>
  <si>
    <t>Vodné</t>
  </si>
  <si>
    <t>Stočné</t>
  </si>
  <si>
    <t>mil. Kč</t>
  </si>
  <si>
    <t>PV</t>
  </si>
  <si>
    <t>OV</t>
  </si>
  <si>
    <t>Koncesní smlouva (Provozovatel vybírá vodné/stočné)</t>
  </si>
  <si>
    <t>Služební provozní smlouva (Vlastník vybírá vodné/stočné)</t>
  </si>
  <si>
    <t>vyberte typ smlouvy pomocí rozbalovacího menu v tomto poli</t>
  </si>
  <si>
    <t>Jedn.</t>
  </si>
  <si>
    <t>vyberte provozované složky VHI pomocí rozbalovacího menu v tomto poli</t>
  </si>
  <si>
    <r>
      <t xml:space="preserve">Vstupy Zadavatele </t>
    </r>
    <r>
      <rPr>
        <i/>
        <sz val="10"/>
        <color indexed="9"/>
        <rFont val="Arial"/>
        <family val="2"/>
        <charset val="238"/>
      </rPr>
      <t>(bílý text k vyplnění Zadavatelem)</t>
    </r>
  </si>
  <si>
    <t>Index cen průmyslových výrobců</t>
  </si>
  <si>
    <t>Index cen elektrické energie</t>
  </si>
  <si>
    <t>Složený index cen energie</t>
  </si>
  <si>
    <t>Mzdový index</t>
  </si>
  <si>
    <t xml:space="preserve">Index spotřebitelských cen </t>
  </si>
  <si>
    <t>Rok</t>
  </si>
  <si>
    <t>Zahájení provozování</t>
  </si>
  <si>
    <t>Ukončení provozování</t>
  </si>
  <si>
    <t>Datum
[DD.MM.RRRR]</t>
  </si>
  <si>
    <t>R =</t>
  </si>
  <si>
    <t>datum konce 1. roku provozu</t>
  </si>
  <si>
    <t>datum ukončení</t>
  </si>
  <si>
    <t>datum zahájení</t>
  </si>
  <si>
    <t>datum zač. posledního roku provozu</t>
  </si>
  <si>
    <t xml:space="preserve">Index cen stavebních děl </t>
  </si>
  <si>
    <t>Měrná
jedn.</t>
  </si>
  <si>
    <t>Jedn. náklady</t>
  </si>
  <si>
    <r>
      <t xml:space="preserve">Údaje automaticky vyplňované modelem </t>
    </r>
    <r>
      <rPr>
        <i/>
        <sz val="10"/>
        <rFont val="Arial"/>
        <family val="2"/>
        <charset val="238"/>
      </rPr>
      <t>(není možné zasahovat do předdefinovaných vzorců)</t>
    </r>
  </si>
  <si>
    <t>Voda pitná a Voda odpadní</t>
  </si>
  <si>
    <t>Vodné a Stočné</t>
  </si>
  <si>
    <t>mil. Kč/rok</t>
  </si>
  <si>
    <t>PV a OV</t>
  </si>
  <si>
    <r>
      <t>Nepovinné vstupy Zadavatele</t>
    </r>
    <r>
      <rPr>
        <i/>
        <sz val="10"/>
        <rFont val="Arial"/>
        <family val="2"/>
        <charset val="238"/>
      </rPr>
      <t xml:space="preserve"> (k vyplnění Zadavatelem) </t>
    </r>
  </si>
  <si>
    <t>Ne</t>
  </si>
  <si>
    <t>Ano</t>
  </si>
  <si>
    <t>PS</t>
  </si>
  <si>
    <t>Přepočet pro 1. rok provozování v případě, že PS není účinná od 1.ledna</t>
  </si>
  <si>
    <r>
      <t xml:space="preserve">Index určený Zadavatelem - </t>
    </r>
    <r>
      <rPr>
        <i/>
        <sz val="7"/>
        <color theme="0"/>
        <rFont val="Arial"/>
        <family val="2"/>
        <charset val="238"/>
      </rPr>
      <t>[zde doplnit název]</t>
    </r>
  </si>
  <si>
    <t>Index</t>
  </si>
  <si>
    <t>za kalendářní rok:</t>
  </si>
  <si>
    <t>Skutečnost</t>
  </si>
  <si>
    <t>Rozdíl</t>
  </si>
  <si>
    <t>Skuteč.</t>
  </si>
  <si>
    <t>Úč. Sk.</t>
  </si>
  <si>
    <t>6a</t>
  </si>
  <si>
    <t>3a</t>
  </si>
  <si>
    <t>Prostředky obnovy infrastrukturního majetku</t>
  </si>
  <si>
    <t>20.</t>
  </si>
  <si>
    <t>Tvorba celkem od roku 2009</t>
  </si>
  <si>
    <t>Čerpání celkem od roku 2009</t>
  </si>
  <si>
    <t>Tvorba za rok</t>
  </si>
  <si>
    <t>Čerpání za rok</t>
  </si>
  <si>
    <t>Vod.</t>
  </si>
  <si>
    <t>Kan.</t>
  </si>
  <si>
    <t>POROVNÁNÍ VŠECH POLOŽEK VÝPOČTU (KALKULACE) CEN PRO VODNÉ A STOČNÉ</t>
  </si>
  <si>
    <r>
      <t xml:space="preserve">Soutěžní cena </t>
    </r>
    <r>
      <rPr>
        <i/>
        <sz val="10"/>
        <rFont val="Arial"/>
        <family val="2"/>
        <charset val="238"/>
      </rPr>
      <t>(není možné zasahovat do předdefinovaných vzorců)</t>
    </r>
  </si>
  <si>
    <r>
      <t xml:space="preserve">Údaje mimo modelovaný typ smlouvy/modelovanou délku smlouvy/pravidla OPŽP </t>
    </r>
    <r>
      <rPr>
        <i/>
        <sz val="10"/>
        <color theme="0"/>
        <rFont val="Arial"/>
        <family val="2"/>
        <charset val="238"/>
      </rPr>
      <t>(nevyplňovat)</t>
    </r>
  </si>
  <si>
    <t>Měrná jedn.</t>
  </si>
  <si>
    <t>Přepočet pro 1. rok provozování</t>
  </si>
  <si>
    <t>1. rok provozování</t>
  </si>
  <si>
    <t>Použité zkratky/pojmy</t>
  </si>
  <si>
    <t>VHI</t>
  </si>
  <si>
    <t>vodohospodářská infrastruktura</t>
  </si>
  <si>
    <t>Poslední rok provozování</t>
  </si>
  <si>
    <t>znamená rok, ve kterém bude zahájeno provozování VHI</t>
  </si>
  <si>
    <t>znamená rok, ve kterém bude ukončeno provozování VHI</t>
  </si>
  <si>
    <t>OPŽP</t>
  </si>
  <si>
    <t>Operační program Životní prostředí</t>
  </si>
  <si>
    <r>
      <t xml:space="preserve">Údaje mimo modelovaný typ smlouvy/modelovanou délku smlouvy/pravidla OPŽP </t>
    </r>
    <r>
      <rPr>
        <i/>
        <sz val="10"/>
        <rFont val="Arial"/>
        <family val="2"/>
        <charset val="238"/>
      </rPr>
      <t>(nevyplňovat)</t>
    </r>
  </si>
  <si>
    <t>Přepočet pro Poslední rok provozování v případě, že PS není účinná do 31.prosince</t>
  </si>
  <si>
    <t>Cenový strop</t>
  </si>
  <si>
    <t>Index nominálních mezd</t>
  </si>
  <si>
    <t>Seznam Indexů</t>
  </si>
  <si>
    <t>Platební mechanismus</t>
  </si>
  <si>
    <t xml:space="preserve">   </t>
  </si>
  <si>
    <t>Verze</t>
  </si>
  <si>
    <t>Datum</t>
  </si>
  <si>
    <t>Identifikační údaje</t>
  </si>
  <si>
    <t>Kontaktní adresa</t>
  </si>
  <si>
    <t>Telefonní číslo</t>
  </si>
  <si>
    <t xml:space="preserve">Název </t>
  </si>
  <si>
    <t>Kontaktní osoba</t>
  </si>
  <si>
    <t>Vlastník vodohospodářské infrastruktury</t>
  </si>
  <si>
    <t>Přepočet pro Poslední rok provozování</t>
  </si>
  <si>
    <t>Je třeba zvolit jednu ze dvou variant provozní smlouvy:</t>
  </si>
  <si>
    <t xml:space="preserve">Zjednodušený finanční model pro provozní smlouvy </t>
  </si>
  <si>
    <t>Uchazeč</t>
  </si>
  <si>
    <t>Zadavatel</t>
  </si>
  <si>
    <t>Vlastník</t>
  </si>
  <si>
    <t>ZFM</t>
  </si>
  <si>
    <t>Celkový index pro navýšení Cenového stropu pro Kalkulaci 
v roce</t>
  </si>
  <si>
    <t xml:space="preserve"> -</t>
  </si>
  <si>
    <t>Aktualizace</t>
  </si>
  <si>
    <t>Email</t>
  </si>
  <si>
    <t>Je nebo bude požadována investice vybraného provozovatele do Infrastrukturního majetku?</t>
  </si>
  <si>
    <t>mil. m3</t>
  </si>
  <si>
    <t xml:space="preserve">PV </t>
  </si>
  <si>
    <t xml:space="preserve">OV </t>
  </si>
  <si>
    <t>Zjednodušený finanční model (tento MS Excel soubor)</t>
  </si>
  <si>
    <t>Provozovatel</t>
  </si>
  <si>
    <r>
      <t xml:space="preserve">Vstupy Provozovatele </t>
    </r>
    <r>
      <rPr>
        <i/>
        <sz val="10"/>
        <color indexed="9"/>
        <rFont val="Arial"/>
        <family val="2"/>
        <charset val="238"/>
      </rPr>
      <t>(bílý text k vyplnění Provozovatelem)</t>
    </r>
  </si>
  <si>
    <t>vlastník vodohospodářské infrastruktury</t>
  </si>
  <si>
    <t>Provozovatel vodohospodářské infrastruktury</t>
  </si>
  <si>
    <t xml:space="preserve">Změna indexu [%] pro Kalkulaci v </t>
  </si>
  <si>
    <t>Neaktivní</t>
  </si>
  <si>
    <t>Aktivní</t>
  </si>
  <si>
    <t>IČ</t>
  </si>
  <si>
    <t>Jedn. náklady celkem (bez DPH)</t>
  </si>
  <si>
    <t>Bude požadována investice Provozovatele do Infrastrukturního majetku formou realizace Investice Provozovatelem?</t>
  </si>
  <si>
    <t>Datum zahájení platnosti aktualizované Kalkulace</t>
  </si>
  <si>
    <r>
      <t xml:space="preserve">Od
</t>
    </r>
    <r>
      <rPr>
        <sz val="6"/>
        <color indexed="8"/>
        <rFont val="Arial"/>
        <family val="2"/>
        <charset val="238"/>
      </rPr>
      <t>[DD.MM.RRRR]</t>
    </r>
  </si>
  <si>
    <t>změna
indexu za 
2. pololetí</t>
  </si>
  <si>
    <t>změna
indexu za
1.pololetí</t>
  </si>
  <si>
    <t>Platnost:</t>
  </si>
  <si>
    <t>Váha v rámci hodnotícího kritéria [%]</t>
  </si>
  <si>
    <t>Platba za službu provozování bez DPH</t>
  </si>
  <si>
    <t>Platba za službu provozování bez DPH - variabilní složka</t>
  </si>
  <si>
    <t>DPH</t>
  </si>
  <si>
    <t xml:space="preserve">faktor R pro aktualizaci Kalkulace </t>
  </si>
  <si>
    <t>R faktor pokud PS nezačíná 1. ledna</t>
  </si>
  <si>
    <t>R faktor pokud PS nekončí 31. prosince</t>
  </si>
  <si>
    <t>rozdíl ve fakturovaných objemech oproti 1. roku provozu [%]</t>
  </si>
  <si>
    <t>objem PV/OV přepočítaný na celý kalendářní rok [mil. m3]</t>
  </si>
  <si>
    <t>Kč/tis. m3</t>
  </si>
  <si>
    <t>[Kč/tis. m3]</t>
  </si>
  <si>
    <t>Cenová úroveň Soutěžní ceny je stanovena k 1. lednu 1. roku provozování.</t>
  </si>
  <si>
    <t>Rozbalovací menu pro vývěr provozovaných složek VHI</t>
  </si>
  <si>
    <t>Rozbalovací menu pro Aktualizace</t>
  </si>
  <si>
    <t>datum začátku 1. roku provozu</t>
  </si>
  <si>
    <t>datum konce posledního roku provozu</t>
  </si>
  <si>
    <t>Voda
pitná</t>
  </si>
  <si>
    <t>Voda
odpadní</t>
  </si>
  <si>
    <t>ÚVN-N</t>
  </si>
  <si>
    <t>Úspory v roce vzniku [mil. Kč]</t>
  </si>
  <si>
    <t>Datum zahájení provozování v kalendářním roce</t>
  </si>
  <si>
    <t>Datum konce provozování v kalendářním roce</t>
  </si>
  <si>
    <t>Datum začátku kalendářního roku</t>
  </si>
  <si>
    <t>Datum konce kalendářního roku</t>
  </si>
  <si>
    <r>
      <t xml:space="preserve">Přenesení úspor při Cenovém přezkoumání z předchozího ZFM </t>
    </r>
    <r>
      <rPr>
        <i/>
        <sz val="10"/>
        <color theme="0"/>
        <rFont val="Arial"/>
        <family val="2"/>
        <charset val="238"/>
      </rPr>
      <t>(bílý text k vyplnění Provozovatelem)</t>
    </r>
  </si>
  <si>
    <r>
      <t>Vstupy provozovatele</t>
    </r>
    <r>
      <rPr>
        <i/>
        <sz val="10"/>
        <rFont val="Arial"/>
        <family val="2"/>
        <charset val="238"/>
      </rPr>
      <t xml:space="preserve"> (umožňuje Provozovateli snížit hodnotu položky Kalkulace pod úroveň Cenového stropu)</t>
    </r>
  </si>
  <si>
    <t>Variabilní složka</t>
  </si>
  <si>
    <t>Základní barevná konvence použitá ve Zjednodušeném finančním modelu</t>
  </si>
  <si>
    <t>Legenda k použitým zkratkám a kompletnímu barevnému značení používanému v tomto dokumentu je uvedena na listu Legenda.</t>
  </si>
  <si>
    <t>!Součet musí být 100%.</t>
  </si>
  <si>
    <t>znamená část A této Přílohy Smlouvy</t>
  </si>
  <si>
    <t>Rozbalovací menu pro výběr typu provozní smlouvy</t>
  </si>
  <si>
    <t>Tabulka pro výpočet přiměřeného zisku a použitého kapitálu v Době provozování dle Platebního mechanismu</t>
  </si>
  <si>
    <t>Uchazeč vyplní buňky určené pro vyplnění Provozovatelem na listech Krycí list a Nabídka.</t>
  </si>
  <si>
    <t>MAX.</t>
  </si>
  <si>
    <t>maximum</t>
  </si>
  <si>
    <t>Je třeba získat souhlasné rozhodnutí MF.</t>
  </si>
  <si>
    <t>MF</t>
  </si>
  <si>
    <t>Ministerstvo Financí</t>
  </si>
  <si>
    <t>MIN.</t>
  </si>
  <si>
    <t>minimum</t>
  </si>
  <si>
    <t>Stanovení ceny pro V/S v Době provozování, Cenové přezkoumání</t>
  </si>
  <si>
    <t>Cenové přezkoumání je možné provést při splnění podmínek stanovených v Platebním mechanismu.</t>
  </si>
  <si>
    <t>SFŽP</t>
  </si>
  <si>
    <t>Státní fond životního prostředí ČR</t>
  </si>
  <si>
    <t>Cenová úroveň na listu Nabídka a cenová úroveň Nájemného na listu Postup je stanovena k 1. lednu 1. roku provozování.</t>
  </si>
  <si>
    <t>Cena pro vodné a stočné v Době provozování</t>
  </si>
  <si>
    <t>Změny indexů používaných pro navýšení Cenového stropu v Době provozování</t>
  </si>
  <si>
    <t>Doba provozování</t>
  </si>
  <si>
    <t xml:space="preserve">Je třeba zvolit jaká složka/složky vodohospodářské infrastruktury budou provozovány: </t>
  </si>
  <si>
    <t>Cenové hodnotící kritérium v případě Koncesní smlouvy:</t>
  </si>
  <si>
    <t>Cenové hodnotící kritérium v případě Služení provozní smlouvy:</t>
  </si>
  <si>
    <t>Vyplnění dalších údajů v ZFM Zadavatelem</t>
  </si>
  <si>
    <t xml:space="preserve">Stanovení vstupních údajů v ZFM Zadavatelem </t>
  </si>
  <si>
    <t>Vyplnění ZFM Uchazečem v rámci koncesního/výběrového řízení, Cenové hodnotící kritérium</t>
  </si>
  <si>
    <t xml:space="preserve">Aktualizace dat před zahájením provozování </t>
  </si>
  <si>
    <t>V případech, kdy dojde před zahájením provozování ke změnám předpokladů, je možné před zahájením provozování některé parametry ZFM přenastavit na listu Provozování podle pravidel stanovených v Platebním mechanismu.</t>
  </si>
  <si>
    <t>Níže jsou popsány jednotlivé kroky postupu při výběru provozovatele vodohospodářské infrastruktury v koncesním nebo výběrovém řízení a úkony při zahájení provozu a v Době provozování. Podrobný návod pro vyplnění ZFM je uveden v Manuálu.</t>
  </si>
  <si>
    <t>Výpočet Cenového stropu v Době provozování dle Platebního mechanismu,
Aktualizace výpočtu Cenového stropu v průběhu roku</t>
  </si>
  <si>
    <t>Změna Indexu spotřebitelských cen mezi vznikem a uplatněním Úspor</t>
  </si>
  <si>
    <t>Úspory v roce jejich uplatnění v Kalkulaci [mil. Kč]***</t>
  </si>
  <si>
    <t>!Nájemné ve složce PV je nižší než nájemné uvedené na listu Postup, indexované. Je třeba získat souhlas SFŽP.</t>
  </si>
  <si>
    <t>!Nájemné ve složce OV je nižší než nájemné uvedené na listu Postup, indexované. Je třeba získat souhlas SFŽP.</t>
  </si>
  <si>
    <t>Aktualizovaná kalkulace - faktor R, faktor S</t>
  </si>
  <si>
    <t>faktor S pro součet Kalkulace a Aktualizované kalkulace v Porovnání</t>
  </si>
  <si>
    <t>Smlouva</t>
  </si>
  <si>
    <t>Manuál</t>
  </si>
  <si>
    <t>Obnova</t>
  </si>
  <si>
    <t>Investice</t>
  </si>
  <si>
    <t>Úspory</t>
  </si>
  <si>
    <t>uchazeč v koncesním nebo výběrovém řízení</t>
  </si>
  <si>
    <t>zadavatel v koncesním nebo výběrovém řízení</t>
  </si>
  <si>
    <t>provozní smlouva, jejíž přílohu tvoří tento dokument</t>
  </si>
  <si>
    <t>znamená období, po které je účinná Smlouva</t>
  </si>
  <si>
    <t xml:space="preserve">znamená realizaci takových opatření, která odstraňují částečné nebo úplné morální a fyzické opotřebení, čímž se zajistí zachování původních užitných hodnot hmotného i nehmotného Majetku. </t>
  </si>
  <si>
    <t>Cenové přezkoumání</t>
  </si>
  <si>
    <t>přezkoumání výše Cenového stropu v průběhu platnosti Smlouvy</t>
  </si>
  <si>
    <t>znamená pořízení nového Majetku</t>
  </si>
  <si>
    <t>Majetek</t>
  </si>
  <si>
    <t>znamená jakýkoliv majetek Vlastníka, který je Provozovatel oprávněn užívat na základě Smlouvy (včetně práv duševního vlastnictví), jak je specifikován v příslušných přílohách Smlouvy</t>
  </si>
  <si>
    <t>odpadní voda</t>
  </si>
  <si>
    <t>provozovatel vodohospodářské infrastruktury; ve fázi před uzavřením provozní smlouvy může být označován jako Uchazeč</t>
  </si>
  <si>
    <t>provozní smlouva (koncesní smlouva nebo služební provozní smlouva)</t>
  </si>
  <si>
    <t>pitná voda</t>
  </si>
  <si>
    <t>!Doba provozování u Služební provozní smlouvy nesmí být delší než 5 let.</t>
  </si>
  <si>
    <t>!Doba provozování u Koncesní smlouvy nesmí být delší než 10 let.</t>
  </si>
  <si>
    <t>Je tento ZFM využíván po Cenovém přezkoumání?</t>
  </si>
  <si>
    <t>Zadavatel vyplní buňky určené pro vyplnění Zadavatelem na listech Krycí list, Postup a Nabídka a v případě změny standardního nastavení indexů i na listu Provozování.</t>
  </si>
  <si>
    <t>Cena pro vodné a/nebo stočné bez DPH</t>
  </si>
  <si>
    <t>Cena pro vodné a/nebo stočné bez DPH - variabilní složka</t>
  </si>
  <si>
    <t>Výpočet ceny pro V/S proběhne po vyplnění potřebných údajů pro příslušný rok v označených polích na listu Provozování. Cena pro V/S na listu Provozování je na úrovni Cenového stropu a je to tedy cena maximální. Na listu Kalkulace a Porovnání má Provozovatel možnost snížit tuto cenu postupem popsaným v Manuálu. Na listu Kalkulace a Porovnání dochází také k výpočtu a uplatnění dělení Úspor.</t>
  </si>
  <si>
    <t>V/S</t>
  </si>
  <si>
    <t>vodné a/nebo stočné</t>
  </si>
  <si>
    <t>Nabídková kalkulace ceny pro vodné a ceny pro stočné dle Př. č. 19 k vyhl. č. 428/2001 Sb.</t>
  </si>
  <si>
    <t>Výpočet ceny pro vodné a ceny pro stočné dle Př. č. 19 k vyhl. č. 428/2001 Sb.</t>
  </si>
  <si>
    <t>Aktualizace - Výpočet ceny pro vodné a ceny pro stočné dle Př. č. 19 k vyhl. č. 428/2001 Sb.</t>
  </si>
  <si>
    <t>dle Př. č. 20 k vyhl. č. 428/2001 Sb.</t>
  </si>
  <si>
    <t>-</t>
  </si>
  <si>
    <t>hodnota odpisů zbývající do dalších let</t>
  </si>
  <si>
    <t>celosmluvní Cenový strop pro pol. 4.1 - odpisy</t>
  </si>
  <si>
    <t>Zbývající celosmluvní Cenový strop pro pol. 4.1 - odpisy [mil. Kč]</t>
  </si>
  <si>
    <t>Podíl úspor připadající Odběratelům/Vlastníkovi [mil. Kč]</t>
  </si>
  <si>
    <t xml:space="preserve">Celkový podíl úspor připadající Odběratelům/Vlastníkovi [mil. Kč] </t>
  </si>
  <si>
    <t>max. hodnota odpisů přepočítaná na celý kalendářní rok</t>
  </si>
  <si>
    <t>a.</t>
  </si>
  <si>
    <t>b.</t>
  </si>
  <si>
    <t>c.</t>
  </si>
  <si>
    <t>Cena pro vodné, stočné bez DPH (Kalkulace) [Kč/m3]</t>
  </si>
  <si>
    <t>Voda fakturovaná pitná, odpadní+srážková (Kalkulace) [mil. m3]</t>
  </si>
  <si>
    <t>Voda fakturovaná pitná, odpadní+srážková (Skutečnost) [mil. m3]</t>
  </si>
  <si>
    <t>d.</t>
  </si>
  <si>
    <t>e.</t>
  </si>
  <si>
    <t>Pásmo dělení úspor I - do 5% ÚVN-N včetně (dělení 50:50)</t>
  </si>
  <si>
    <t>Pásmo dělení úspor II - od 5% do 10% ÚVN-N včetně (dělení 80:20)</t>
  </si>
  <si>
    <t>Pásmo dělení úspor III - od 10% ÚVN-N (dělení 100:0)</t>
  </si>
  <si>
    <t>Úspora / ztráta provozovatele</t>
  </si>
  <si>
    <t xml:space="preserve"> - nájem infrastrukturního majetku</t>
  </si>
  <si>
    <t>ÚVN-N (Skutečnost) [mil. Kč]</t>
  </si>
  <si>
    <t>ÚVN-N (Kalkulace) [mil. Kč]</t>
  </si>
  <si>
    <t>Úspory vzniklé v předposledním roce provozování podle předchozího ZFM  [mil. Kč]</t>
  </si>
  <si>
    <t>Úspory vzniklé v posledním roce provozování podle předchozího ZFM  [mil. Kč]</t>
  </si>
  <si>
    <t>Podíl úspor z ÚVN-N (Kalkulace) [%]</t>
  </si>
  <si>
    <t>Je požadována investice Provozovatele do Infrastrukturního majetku formou odkupu již existujícího majetku?</t>
  </si>
  <si>
    <t>f.</t>
  </si>
  <si>
    <t>Úspory v roce jejich uplatnění v Kalkulaci [mil. Kč]</t>
  </si>
  <si>
    <t xml:space="preserve"> = (a*b-a*c)+(d-e)-f</t>
  </si>
  <si>
    <t>Tabulka pro výpočet přiměřeného zisku a použitého kapitálu dle výměru MF upravená pro účely naplnění podmínek OPŽP</t>
  </si>
  <si>
    <t>Částka k dělení [mil. Kč]</t>
  </si>
  <si>
    <t>Upozornění</t>
  </si>
  <si>
    <r>
      <t xml:space="preserve">Vstupy Vlastníka </t>
    </r>
    <r>
      <rPr>
        <i/>
        <sz val="10"/>
        <color indexed="9"/>
        <rFont val="Arial"/>
        <family val="2"/>
        <charset val="238"/>
      </rPr>
      <t>(bílý text k vyplnění Zadavatelem)</t>
    </r>
  </si>
  <si>
    <t>12.1</t>
  </si>
  <si>
    <t>12.2.</t>
  </si>
  <si>
    <t>- zisk k použití/ ztráta</t>
  </si>
  <si>
    <t>21.</t>
  </si>
  <si>
    <t>22.</t>
  </si>
  <si>
    <t>Plně obnovující cena</t>
  </si>
  <si>
    <t>Vyrovnávací položky</t>
  </si>
  <si>
    <t>Vyrovnávací položka z roku t-2 dle platných pravidel cenové regulace</t>
  </si>
  <si>
    <t>Finanční vypořádání rozdílu kalkulací prováděných podle metodiky OPŽP - finanční nástroje</t>
  </si>
  <si>
    <t>12.2</t>
  </si>
  <si>
    <t>Kalkulovaná cena pro vodné a pro stočné 
při dvousložkové formě</t>
  </si>
  <si>
    <t>Měrná jednotka</t>
  </si>
  <si>
    <t>23.</t>
  </si>
  <si>
    <t>Pevná složka – (ÚVN + vyrovnávací položky + kalkulační zisk/ztráta)</t>
  </si>
  <si>
    <t>23a.</t>
  </si>
  <si>
    <t>- podíl z celkových ÚVN včetně vyrovnávací položky a kalkulačního zisku/ztráta</t>
  </si>
  <si>
    <t>24.</t>
  </si>
  <si>
    <t>Pohyblivá složka – (ÚVN + vyrovnávací položky + kalkulační zisk/ztráta)</t>
  </si>
  <si>
    <t>24a.</t>
  </si>
  <si>
    <t>- z toho: ÚVN + vyrovnávací položky</t>
  </si>
  <si>
    <t>24b.</t>
  </si>
  <si>
    <t>Kalkulační zisk / ztráta</t>
  </si>
  <si>
    <t>25.</t>
  </si>
  <si>
    <t>UPLATŇOVANÁ CENA pohyblivé složky</t>
  </si>
  <si>
    <r>
      <t>Kč.m</t>
    </r>
    <r>
      <rPr>
        <vertAlign val="superscript"/>
        <sz val="10"/>
        <color indexed="8"/>
        <rFont val="Segoe UI"/>
        <family val="2"/>
        <charset val="238"/>
      </rPr>
      <t>-3</t>
    </r>
  </si>
  <si>
    <t>26.</t>
  </si>
  <si>
    <t>UPLATŇOVANÁ CENA pohyblivé složky + DPH</t>
  </si>
  <si>
    <t>27.</t>
  </si>
  <si>
    <t>Technické parametry pevné složky podle § 33 odst. 1 vyhlášky č. 428/2001 Sb. 
(a, b, c) a výše nejnižší a nejvyšší platby za pevnou složku v Kč za rok a přípojku</t>
  </si>
  <si>
    <t>- odpisy infrastrukturního majetku</t>
  </si>
  <si>
    <t>- opravy infrastrukturního majetku ostatní</t>
  </si>
  <si>
    <t>- obnovující opravy infrastrukturního majetku</t>
  </si>
  <si>
    <t>- pachtovné/nájemné infrastrukturního majetku</t>
  </si>
  <si>
    <t>- z ř. 9 osobní náklady režijní správní</t>
  </si>
  <si>
    <t>9.1</t>
  </si>
  <si>
    <t>Jiné provozní náklady</t>
  </si>
  <si>
    <t>Ostatní výnosy</t>
  </si>
  <si>
    <t>?</t>
  </si>
  <si>
    <t>- mzdové náklady</t>
  </si>
  <si>
    <t>Úplné vlastní náklady (ÚVN)</t>
  </si>
  <si>
    <t xml:space="preserve">UPLATŇOVANÁ CENA pro vodné, stočné + DPH </t>
  </si>
  <si>
    <t>UPLATŇOVANÁ CENA pro vodné, stočné</t>
  </si>
  <si>
    <t>Voda fakturovaná pitná, odpadní + srážková</t>
  </si>
  <si>
    <t>Celkem ÚVN + vyrovnávací položky + kalkulační zisk / ztráta</t>
  </si>
  <si>
    <t>ÚVN + vyrovnávací položky</t>
  </si>
  <si>
    <t>- podíl kalkul. zisku/ztráty z ÚVN včetně vyrovnávacích položek 
(orientační ukazatel)</t>
  </si>
  <si>
    <t>mil. M3</t>
  </si>
  <si>
    <t>- podíl kalkul. zisku/ztráty z ÚVN včetně vyrovnávacích položek (orientační ukazatel)</t>
  </si>
  <si>
    <t>Osobní náklady</t>
  </si>
  <si>
    <t>- osobní náklady další</t>
  </si>
  <si>
    <t>- podíl kalkul. zisku/ztráty z ÚVN včetně vyrovnávacích položek  (orientační ukazatel)</t>
  </si>
  <si>
    <t>ř. 10/B nebo 
ř. 10/(D+F) nebo ř. 10 / H nebo ř. 10/ I</t>
  </si>
  <si>
    <t>ř. 12.1 + ř. 12.2</t>
  </si>
  <si>
    <t>ř. 10 + ř. 12</t>
  </si>
  <si>
    <t xml:space="preserve">
(ř. 14 / ř. 13) * 100</t>
  </si>
  <si>
    <t xml:space="preserve">Ř. VII. 1 – 4.1 – 4.2 (minimální hodnota je 0). </t>
  </si>
  <si>
    <t>- z ř.14 na rozvoj a obnovu infrastrukturního majetku</t>
  </si>
  <si>
    <t>ř. 14 – ř. 16</t>
  </si>
  <si>
    <t>ř. 13 + ř. 14</t>
  </si>
  <si>
    <t>ř. B, nebo D + F nebo H nebo I</t>
  </si>
  <si>
    <t>ř. 18 / ř. 19</t>
  </si>
  <si>
    <t>ř. 20 + DPH</t>
  </si>
  <si>
    <t xml:space="preserve">Když (4.1 + 4.2)&lt; než VII. pak (ř. 10 - 4.1 - 4.2 – ř. 4.4 + VII. +4.4.7) / ř. 19; jinak (ř. 10- 4.4 +4.4.7)/ ř. 19 </t>
  </si>
  <si>
    <t>Kalkulační položky</t>
  </si>
  <si>
    <t>Zisk zajišťující návratnost kapitálu dle bodu (5) písm. a) výměru MF</t>
  </si>
  <si>
    <t>Míra návratnosti (Mp)</t>
  </si>
  <si>
    <t>x</t>
  </si>
  <si>
    <t>Celkový přiměřený zisk dle bodu (5) písm. a) a b) výměru MF a zisk uplatněný v plánové kalkulaci</t>
  </si>
  <si>
    <t>Přiměřený zisk podle bodu (5) písm. a) a písm. b) výměru MF</t>
  </si>
  <si>
    <t>Kalkulační zisk/ztráta</t>
  </si>
  <si>
    <t>Zisk zajišťující návratnost kapitálu provozovatele (ZNKP)</t>
  </si>
  <si>
    <t xml:space="preserve"> </t>
  </si>
  <si>
    <t>Přiměřený zisk z použitého kapitálu (PZNK)
(ř. 5 * ř. 6 + ř. 7)</t>
  </si>
  <si>
    <t>% *</t>
  </si>
  <si>
    <t>ř. 10/B nebo ř. 10/(D+F) nebo ř. 10 / H nebo ř. 10/ I</t>
  </si>
  <si>
    <t>ř. B nebo D * ř. 20 - ř.13</t>
  </si>
  <si>
    <t>Formulář A až G</t>
  </si>
  <si>
    <t>Index 1 až x</t>
  </si>
  <si>
    <t>Hodnota může být pouze záporná. V případě kladné hodnoty se tato položka neuplatňuje. Tato hodnota je vypočtena dle pravidel cenové regulace platných v roce t-2.</t>
  </si>
  <si>
    <t>Hodnota může být kladná nebo záporná.</t>
  </si>
  <si>
    <t>Obnovující opravy v běžných cenách příslušného roku (poskytované závazně Vlastníkem dle Platebního mechanismu) **</t>
  </si>
  <si>
    <t>Předpokládané objemy (PV - pol. D Kalkulace - Voda pitná fakturovaná, OV - pol. F Kalkulace - Voda odpadní odv. fakturovaná) ***</t>
  </si>
  <si>
    <t>*** Hodnoty zde uvedené jsou pouze nezávazným předpokladem Vlastníka o vývoji objemů PV/OV v Době provozování, nepřenáší se do výpočtů v ZFM, podrobnosti viz Manuál.</t>
  </si>
  <si>
    <t>** Hodnoty zde uvedené se nepřenáší do výpočtů v ZFM, podrobnosti viz Smlouva a Manuál.</t>
  </si>
  <si>
    <t>*** odečet Úspor probíhá na listu Kalkulace a Porovnání, Úspory jsou započítány do položky 12.2. Finanční  vypořádání rozdílu kalkualcí prováděných dle metodiky OPŽP-finanční nástroje</t>
  </si>
  <si>
    <t>Prostředky obnovy PV</t>
  </si>
  <si>
    <t>Prostředky obnovy OV</t>
  </si>
  <si>
    <t>Tento dokument byl připraven pro Operační program Životní prostředí v programovém období 2007 - 2013, 2014 - 2020, 2021 - 2027 a Národní programy ŽP jako prostředek k zajištění některých požadavků Evropské komise vztahujících se k provozování vodohospodářské infrastruktury. Poskytovatel tohoto dokumentu, Státní fond životního prostředí ČR, nenese odpovědnost za důsledky užití tohoto dokumentu pro jiné účely, než pro které je určen a neodpovídá za škody a případné ztráty způsobené užitím tohoto dokumentu.</t>
  </si>
  <si>
    <t>!Meziroční nárůst zisku u PV nebo OV překročil povolených 20%.</t>
  </si>
  <si>
    <t xml:space="preserve">Reprodukční hodnota infrastrukturního majetku, kterou vlastník přiřadil ke konkrétní kalkulaci (IM) </t>
  </si>
  <si>
    <t>maximální hodnota jednotlivých položek Kalkulace; je určen nabídkou Provozovatele pro každou položku Kalkulace a je možné ho měnit pouze podle pravidel pro meziroční změny položek Kalkulace uvedených v této Příloze Smlouvy nebo při Cenovém Přezkoumání</t>
  </si>
  <si>
    <t>znamená výpočet ceny pro vodné a ceny pro stočné dle Př. č. 19 k vyhlášce č. 428/2001 Sb. a její novelizace</t>
  </si>
  <si>
    <t>znamená manuál k Zjednodušenému finančnímu modelu pro OPŽP ve verzi ZFMv.2.0, tento dokument je uveřejněný na webových stránkách  www.opzp.cz</t>
  </si>
  <si>
    <t xml:space="preserve">kladná hodnota vyčíslená v Porovnání v pol. 10 Úplné vlastní náklady ve sloupci Rozdíl po odečtení Nájemného a Obnovujících oprav, tj. kladná hodnota v pol. 10 Úplné vlastní náklady ve sloupci Rozdíl minus pol. 4.2 Obnovující opravy infrastrukturního majetku a 4.4 Nájemné/Pachtovné infrastrukturního majetku </t>
  </si>
  <si>
    <t>Úplné vlastní náklady bez Nájemného a Obnovujících oprav (tj. pol. 10 Kalkulace mínus pol. 4.2 Kalkulace a položka 4.4 Kalkulace)</t>
  </si>
  <si>
    <t xml:space="preserve">Náklady tvoří veškeré opravy s charakterem obnovy infrastrukturního majetku realizované ve vlastní režii i dodavatelsky v souladu se zákonem č. 563/1991 Sb. U oprav ve vlastní režii se jedná nejen o hodnotu vlastních prací, ale i náklady související s náklady na materiál, dopravu a stavební mechanizaci. </t>
  </si>
  <si>
    <t>Obnovující opravy infrastrukturního majetku</t>
  </si>
  <si>
    <t>pro projekty v Operačním programu Životní prostředí / Národním programu Životního prostředí</t>
  </si>
  <si>
    <t>Uplatňovaný zisk provozovatele*</t>
  </si>
  <si>
    <t>Uplatňovaný zisk (Kalkulační zisk/ztráta přenesený do Kalkulace)</t>
  </si>
  <si>
    <t>* Povinnost provozovatele vyplnit procentní výši uplatňovaného zisku přeneseného do Kalkulace</t>
  </si>
  <si>
    <t>Uplatňovaný zisk provozovatele (%)*</t>
  </si>
  <si>
    <t>Nájemné/pachtovné včetně prostředků obnovy infrastrukturního majetku vlastníka dle výstupu z Nástroje udržitelnost *</t>
  </si>
  <si>
    <t>Prostředky nad rámec obnovy PV</t>
  </si>
  <si>
    <t>Prostředky nad rámec obnovy OV</t>
  </si>
  <si>
    <t>Celkové nájemné/pachtovné PV</t>
  </si>
  <si>
    <t>Celkové nájemné/pachtovné OV</t>
  </si>
  <si>
    <t xml:space="preserve">*Nájemné/pachtovné musí být minimálně ve výši prostředků na obnovu dle výstupu z Nástroje udržitelnost. Nicméně lze jej navýšit o potřebnou výši na úroveň požadovaného celkového nájemného/pachtovného vlastníka. </t>
  </si>
  <si>
    <t>ZFM 2.2</t>
  </si>
  <si>
    <t>IX.2023</t>
  </si>
  <si>
    <t>Obec Benešov nad Černou</t>
  </si>
  <si>
    <t>00245780</t>
  </si>
  <si>
    <t>Veronika Zemanová Korchová</t>
  </si>
  <si>
    <t>Benešov nad Černou 126. 382 82 Benešov nad Černou</t>
  </si>
  <si>
    <t>380322118</t>
  </si>
  <si>
    <t>starosta@benesovnc.cz</t>
  </si>
  <si>
    <t>11.1.2024</t>
  </si>
  <si>
    <t>PRVOK s.r.o.</t>
  </si>
  <si>
    <t>281 28 257</t>
  </si>
  <si>
    <t>Mgr. Dan Hansel</t>
  </si>
  <si>
    <t>Kájovská 11, 382 21 Kájov</t>
  </si>
  <si>
    <t>603 449 460</t>
  </si>
  <si>
    <t>hansel@prvok. cz</t>
  </si>
  <si>
    <t>8.3.2024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</si>
</sst>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0.000"/>
    <numFmt numFmtId="165" formatCode="#0.00"/>
    <numFmt numFmtId="166" formatCode="#0"/>
    <numFmt numFmtId="167" formatCode="#,##0.000"/>
    <numFmt numFmtId="168" formatCode="0.000"/>
    <numFmt numFmtId="169" formatCode="d/m/yyyy;@"/>
    <numFmt numFmtId="170" formatCode="0.000\ 000"/>
    <numFmt numFmtId="171" formatCode="0.0"/>
    <numFmt numFmtId="172" formatCode="#,##0.000&quot; &quot;000"/>
  </numFmts>
  <fonts count="87" x14ac:knownFonts="1">
    <font>
      <sz val="11"/>
      <color theme="1"/>
      <name val="Calibri"/>
      <family val="2"/>
      <charset val="238"/>
      <scheme val="minor"/>
    </font>
    <font>
      <b/>
      <sz val="11"/>
      <color theme="1"/>
      <name val="Calibri"/>
      <family val="2"/>
      <charset val="238"/>
      <scheme val="minor"/>
    </font>
    <font>
      <sz val="10"/>
      <name val="Arial"/>
      <family val="2"/>
      <charset val="238"/>
    </font>
    <font>
      <sz val="10"/>
      <name val="Arial"/>
      <family val="2"/>
      <charset val="238"/>
    </font>
    <font>
      <sz val="7"/>
      <name val="Arial"/>
      <family val="2"/>
      <charset val="238"/>
    </font>
    <font>
      <b/>
      <sz val="7"/>
      <name val="Arial"/>
      <family val="2"/>
      <charset val="238"/>
    </font>
    <font>
      <b/>
      <sz val="7"/>
      <color indexed="9"/>
      <name val="Arial"/>
      <family val="2"/>
      <charset val="238"/>
    </font>
    <font>
      <i/>
      <sz val="10"/>
      <color indexed="9"/>
      <name val="Arial"/>
      <family val="2"/>
      <charset val="238"/>
    </font>
    <font>
      <sz val="10"/>
      <color theme="0"/>
      <name val="Arial"/>
      <family val="2"/>
      <charset val="238"/>
    </font>
    <font>
      <sz val="11"/>
      <color indexed="8"/>
      <name val="Arial"/>
      <family val="2"/>
      <charset val="238"/>
    </font>
    <font>
      <sz val="7"/>
      <color theme="0"/>
      <name val="Arial"/>
      <family val="2"/>
      <charset val="238"/>
    </font>
    <font>
      <sz val="11"/>
      <color rgb="FFFF0000"/>
      <name val="Calibri"/>
      <family val="2"/>
      <charset val="238"/>
      <scheme val="minor"/>
    </font>
    <font>
      <sz val="9"/>
      <color theme="1"/>
      <name val="Arial"/>
      <family val="2"/>
      <charset val="238"/>
    </font>
    <font>
      <sz val="10"/>
      <color theme="1"/>
      <name val="Arial"/>
      <family val="2"/>
      <charset val="238"/>
    </font>
    <font>
      <b/>
      <sz val="10"/>
      <color theme="1"/>
      <name val="Arial"/>
      <family val="2"/>
      <charset val="238"/>
    </font>
    <font>
      <sz val="10"/>
      <color rgb="FFFF0000"/>
      <name val="Arial"/>
      <family val="2"/>
      <charset val="238"/>
    </font>
    <font>
      <sz val="10"/>
      <color theme="1"/>
      <name val="Calibri"/>
      <family val="2"/>
      <charset val="238"/>
      <scheme val="minor"/>
    </font>
    <font>
      <i/>
      <sz val="10"/>
      <color theme="0"/>
      <name val="Arial"/>
      <family val="2"/>
      <charset val="238"/>
    </font>
    <font>
      <sz val="11"/>
      <name val="Calibri"/>
      <family val="2"/>
      <charset val="238"/>
      <scheme val="minor"/>
    </font>
    <font>
      <b/>
      <sz val="10"/>
      <name val="Arial"/>
      <family val="2"/>
      <charset val="238"/>
    </font>
    <font>
      <sz val="7"/>
      <color theme="1"/>
      <name val="Arial"/>
      <family val="2"/>
      <charset val="238"/>
    </font>
    <font>
      <i/>
      <sz val="10"/>
      <name val="Arial"/>
      <family val="2"/>
      <charset val="238"/>
    </font>
    <font>
      <sz val="10"/>
      <color rgb="FFFFFFFF"/>
      <name val="Arial"/>
      <family val="2"/>
      <charset val="238"/>
    </font>
    <font>
      <i/>
      <sz val="7"/>
      <color theme="0"/>
      <name val="Arial"/>
      <family val="2"/>
      <charset val="238"/>
    </font>
    <font>
      <sz val="6.3"/>
      <name val="Arial"/>
      <family val="2"/>
      <charset val="238"/>
    </font>
    <font>
      <sz val="10"/>
      <color theme="0" tint="-0.14999847407452621"/>
      <name val="Arial"/>
      <family val="2"/>
      <charset val="238"/>
    </font>
    <font>
      <sz val="11"/>
      <color theme="0" tint="-0.14999847407452621"/>
      <name val="Calibri"/>
      <family val="2"/>
      <charset val="238"/>
      <scheme val="minor"/>
    </font>
    <font>
      <sz val="8"/>
      <color rgb="FFFF0000"/>
      <name val="Arial"/>
      <family val="2"/>
      <charset val="238"/>
    </font>
    <font>
      <sz val="11"/>
      <color theme="1"/>
      <name val="Arial"/>
      <family val="2"/>
      <charset val="238"/>
    </font>
    <font>
      <sz val="11"/>
      <color rgb="FFFF0000"/>
      <name val="Arial"/>
      <family val="2"/>
      <charset val="238"/>
    </font>
    <font>
      <sz val="8"/>
      <color theme="0" tint="-0.249977111117893"/>
      <name val="Arial"/>
      <family val="2"/>
      <charset val="238"/>
    </font>
    <font>
      <sz val="8"/>
      <name val="Arial"/>
      <family val="2"/>
      <charset val="238"/>
    </font>
    <font>
      <sz val="16"/>
      <color indexed="9"/>
      <name val="Arial"/>
      <family val="2"/>
      <charset val="238"/>
    </font>
    <font>
      <sz val="10"/>
      <color indexed="9"/>
      <name val="Arial"/>
      <family val="2"/>
      <charset val="238"/>
    </font>
    <font>
      <b/>
      <sz val="10"/>
      <color indexed="9"/>
      <name val="Arial"/>
      <family val="2"/>
      <charset val="238"/>
    </font>
    <font>
      <b/>
      <sz val="10"/>
      <name val="Arial"/>
      <family val="2"/>
    </font>
    <font>
      <sz val="11"/>
      <color indexed="8"/>
      <name val="Calibri"/>
      <family val="2"/>
      <charset val="238"/>
    </font>
    <font>
      <sz val="11"/>
      <color indexed="9"/>
      <name val="Calibri"/>
      <family val="2"/>
      <charset val="238"/>
    </font>
    <font>
      <b/>
      <sz val="11"/>
      <color indexed="8"/>
      <name val="Calibri"/>
      <family val="2"/>
      <charset val="238"/>
    </font>
    <font>
      <sz val="11"/>
      <color indexed="20"/>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charset val="238"/>
    </font>
    <font>
      <sz val="11"/>
      <color indexed="52"/>
      <name val="Calibri"/>
      <family val="2"/>
      <charset val="238"/>
    </font>
    <font>
      <sz val="11"/>
      <color indexed="17"/>
      <name val="Calibri"/>
      <family val="2"/>
      <charset val="238"/>
    </font>
    <font>
      <sz val="11"/>
      <color indexed="10"/>
      <name val="Calibri"/>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sz val="7"/>
      <color theme="1"/>
      <name val="Arial"/>
      <family val="2"/>
      <charset val="238"/>
    </font>
    <font>
      <b/>
      <sz val="11"/>
      <name val="Arial"/>
      <family val="2"/>
      <charset val="238"/>
    </font>
    <font>
      <sz val="11"/>
      <color theme="0" tint="-0.249977111117893"/>
      <name val="Arial"/>
      <family val="2"/>
      <charset val="238"/>
    </font>
    <font>
      <sz val="11"/>
      <name val="Arial"/>
      <family val="2"/>
      <charset val="238"/>
    </font>
    <font>
      <sz val="7"/>
      <color theme="0" tint="-0.249977111117893"/>
      <name val="Arial"/>
      <family val="2"/>
      <charset val="238"/>
    </font>
    <font>
      <b/>
      <sz val="7"/>
      <color theme="0" tint="-0.249977111117893"/>
      <name val="Arial"/>
      <family val="2"/>
      <charset val="238"/>
    </font>
    <font>
      <sz val="9"/>
      <name val="Arial"/>
      <family val="2"/>
      <charset val="238"/>
    </font>
    <font>
      <b/>
      <sz val="7"/>
      <color theme="0"/>
      <name val="Arial"/>
      <family val="2"/>
      <charset val="238"/>
    </font>
    <font>
      <sz val="6"/>
      <color indexed="8"/>
      <name val="Arial"/>
      <family val="2"/>
      <charset val="238"/>
    </font>
    <font>
      <sz val="8"/>
      <color theme="1"/>
      <name val="Arial"/>
      <family val="2"/>
      <charset val="238"/>
    </font>
    <font>
      <sz val="10"/>
      <color theme="0" tint="-0.249977111117893"/>
      <name val="Arial"/>
      <family val="2"/>
      <charset val="238"/>
    </font>
    <font>
      <sz val="7"/>
      <color theme="0" tint="-0.249977111117893"/>
      <name val="Calibri"/>
      <family val="2"/>
      <charset val="238"/>
      <scheme val="minor"/>
    </font>
    <font>
      <sz val="7"/>
      <name val="Calibri"/>
      <family val="2"/>
      <charset val="238"/>
      <scheme val="minor"/>
    </font>
    <font>
      <b/>
      <sz val="11"/>
      <color theme="1"/>
      <name val="Arial"/>
      <family val="2"/>
      <charset val="238"/>
    </font>
    <font>
      <sz val="10"/>
      <name val="Calibri"/>
      <family val="2"/>
      <charset val="238"/>
      <scheme val="minor"/>
    </font>
    <font>
      <b/>
      <sz val="8"/>
      <name val="Arial"/>
      <family val="2"/>
      <charset val="238"/>
    </font>
    <font>
      <b/>
      <sz val="8"/>
      <color theme="1"/>
      <name val="Arial"/>
      <family val="2"/>
      <charset val="238"/>
    </font>
    <font>
      <sz val="8"/>
      <color theme="0"/>
      <name val="Calibri"/>
      <family val="2"/>
      <charset val="238"/>
      <scheme val="minor"/>
    </font>
    <font>
      <sz val="7"/>
      <color rgb="FFFF0000"/>
      <name val="Arial"/>
      <family val="2"/>
      <charset val="238"/>
    </font>
    <font>
      <sz val="7"/>
      <color theme="1"/>
      <name val="Calibri"/>
      <family val="2"/>
      <charset val="238"/>
      <scheme val="minor"/>
    </font>
    <font>
      <sz val="8"/>
      <name val="Calibri"/>
      <family val="2"/>
      <charset val="238"/>
      <scheme val="minor"/>
    </font>
    <font>
      <sz val="9"/>
      <color theme="0" tint="-0.14999847407452621"/>
      <name val="Arial"/>
      <family val="2"/>
      <charset val="238"/>
    </font>
    <font>
      <sz val="9"/>
      <color theme="0" tint="-0.249977111117893"/>
      <name val="Arial"/>
      <family val="2"/>
      <charset val="238"/>
    </font>
    <font>
      <sz val="6.8"/>
      <name val="Arial"/>
      <family val="2"/>
      <charset val="238"/>
    </font>
    <font>
      <sz val="10"/>
      <color theme="1"/>
      <name val="Segoe UI"/>
      <family val="2"/>
      <charset val="238"/>
    </font>
    <font>
      <b/>
      <sz val="10"/>
      <color theme="1"/>
      <name val="Segoe UI"/>
      <family val="2"/>
      <charset val="238"/>
    </font>
    <font>
      <b/>
      <sz val="14"/>
      <color theme="1"/>
      <name val="Segoe UI"/>
      <family val="2"/>
      <charset val="238"/>
    </font>
    <font>
      <vertAlign val="superscript"/>
      <sz val="10"/>
      <color indexed="8"/>
      <name val="Segoe UI"/>
      <family val="2"/>
      <charset val="238"/>
    </font>
    <font>
      <sz val="10"/>
      <name val="Segoe UI"/>
      <family val="2"/>
      <charset val="238"/>
    </font>
    <font>
      <sz val="11"/>
      <color theme="1"/>
      <name val="Calibri"/>
      <family val="2"/>
      <charset val="238"/>
      <scheme val="minor"/>
    </font>
    <font>
      <sz val="6"/>
      <name val="Arial"/>
      <family val="2"/>
      <charset val="238"/>
    </font>
    <font>
      <sz val="6"/>
      <color theme="1"/>
      <name val="Calibri"/>
      <family val="2"/>
      <charset val="238"/>
      <scheme val="minor"/>
    </font>
    <font>
      <sz val="11"/>
      <color theme="0"/>
      <name val="Calibri"/>
      <family val="2"/>
      <charset val="238"/>
      <scheme val="minor"/>
    </font>
    <font>
      <sz val="6"/>
      <color theme="0"/>
      <name val="Arial"/>
      <family val="2"/>
      <charset val="238"/>
    </font>
  </fonts>
  <fills count="54">
    <fill>
      <patternFill patternType="none"/>
    </fill>
    <fill>
      <patternFill patternType="gray125"/>
    </fill>
    <fill>
      <patternFill patternType="solid">
        <fgColor indexed="9"/>
        <bgColor indexed="64"/>
      </patternFill>
    </fill>
    <fill>
      <patternFill patternType="solid">
        <fgColor rgb="FF33CC33"/>
        <bgColor indexed="64"/>
      </patternFill>
    </fill>
    <fill>
      <patternFill patternType="solid">
        <fgColor rgb="FFFF9900"/>
        <bgColor indexed="64"/>
      </patternFill>
    </fill>
    <fill>
      <patternFill patternType="solid">
        <fgColor rgb="FFCCFFCC"/>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CC00"/>
        <bgColor indexed="64"/>
      </patternFill>
    </fill>
    <fill>
      <patternFill patternType="solid">
        <fgColor theme="8" tint="0.59999389629810485"/>
        <bgColor indexed="64"/>
      </patternFill>
    </fill>
    <fill>
      <patternFill patternType="solid">
        <fgColor indexed="55"/>
        <bgColor indexed="64"/>
      </patternFill>
    </fill>
    <fill>
      <patternFill patternType="solid">
        <fgColor indexed="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FFCC66"/>
        <bgColor indexed="64"/>
      </patternFill>
    </fill>
    <fill>
      <patternFill patternType="solid">
        <fgColor theme="3" tint="0.59999389629810485"/>
        <bgColor indexed="64"/>
      </patternFill>
    </fill>
    <fill>
      <patternFill patternType="solid">
        <fgColor rgb="FFE6E6E6"/>
        <bgColor indexed="64"/>
      </patternFill>
    </fill>
    <fill>
      <patternFill patternType="solid">
        <fgColor rgb="FFCFCFCF"/>
        <bgColor indexed="64"/>
      </patternFill>
    </fill>
    <fill>
      <patternFill patternType="solid">
        <fgColor rgb="FFC0C0C0"/>
        <bgColor indexed="64"/>
      </patternFill>
    </fill>
    <fill>
      <patternFill patternType="solid">
        <fgColor rgb="FFB0B0B0"/>
        <bgColor indexed="64"/>
      </patternFill>
    </fill>
    <fill>
      <patternFill patternType="solid">
        <fgColor rgb="FF34CC33"/>
        <bgColor indexed="64"/>
      </patternFill>
    </fill>
    <fill>
      <patternFill patternType="solid">
        <fgColor rgb="FFFE9900"/>
        <bgColor indexed="64"/>
      </patternFill>
    </fill>
    <fill>
      <patternFill patternType="solid">
        <fgColor rgb="FFCDFFCC"/>
        <bgColor indexed="64"/>
      </patternFill>
    </fill>
    <fill>
      <patternFill patternType="solid">
        <fgColor rgb="FFFECC66"/>
        <bgColor indexed="64"/>
      </patternFill>
    </fill>
    <fill>
      <patternFill patternType="solid">
        <fgColor rgb="FF8EB4E2"/>
        <bgColor indexed="64"/>
      </patternFill>
    </fill>
    <fill>
      <patternFill patternType="solid">
        <fgColor rgb="FF8DB4E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9933"/>
        <bgColor indexed="64"/>
      </patternFill>
    </fill>
    <fill>
      <patternFill patternType="solid">
        <fgColor theme="0" tint="-0.34998626667073579"/>
        <bgColor indexed="64"/>
      </patternFill>
    </fill>
    <fill>
      <patternFill patternType="solid">
        <fgColor theme="9"/>
        <bgColor indexed="64"/>
      </patternFill>
    </fill>
  </fills>
  <borders count="9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9"/>
      </bottom>
      <diagonal/>
    </border>
    <border>
      <left style="thin">
        <color indexed="64"/>
      </left>
      <right style="thin">
        <color indexed="64"/>
      </right>
      <top style="thin">
        <color indexed="9"/>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top style="thin">
        <color theme="0"/>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theme="0"/>
      </top>
      <bottom style="thin">
        <color theme="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theme="0"/>
      </top>
      <bottom/>
      <diagonal/>
    </border>
    <border>
      <left/>
      <right/>
      <top/>
      <bottom style="thin">
        <color auto="1"/>
      </bottom>
      <diagonal/>
    </border>
    <border>
      <left style="thin">
        <color theme="0"/>
      </left>
      <right/>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s>
  <cellStyleXfs count="54">
    <xf numFmtId="0" fontId="0" fillId="0" borderId="0"/>
    <xf numFmtId="0" fontId="2" fillId="0" borderId="0"/>
    <xf numFmtId="43" fontId="2"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17" borderId="0" applyNumberFormat="0" applyBorder="0" applyAlignment="0" applyProtection="0"/>
    <xf numFmtId="0" fontId="36" fillId="20" borderId="0" applyNumberFormat="0" applyBorder="0" applyAlignment="0" applyProtection="0"/>
    <xf numFmtId="0" fontId="36" fillId="23" borderId="0" applyNumberFormat="0" applyBorder="0" applyAlignment="0" applyProtection="0"/>
    <xf numFmtId="0" fontId="37" fillId="24"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8" fillId="0" borderId="63" applyNumberFormat="0" applyFill="0" applyAlignment="0" applyProtection="0"/>
    <xf numFmtId="0" fontId="39" fillId="15" borderId="0" applyNumberFormat="0" applyBorder="0" applyAlignment="0" applyProtection="0"/>
    <xf numFmtId="0" fontId="40" fillId="28" borderId="64" applyNumberFormat="0" applyAlignment="0" applyProtection="0"/>
    <xf numFmtId="0" fontId="41" fillId="0" borderId="65" applyNumberFormat="0" applyFill="0" applyAlignment="0" applyProtection="0"/>
    <xf numFmtId="0" fontId="42" fillId="0" borderId="66" applyNumberFormat="0" applyFill="0" applyAlignment="0" applyProtection="0"/>
    <xf numFmtId="0" fontId="43" fillId="0" borderId="67" applyNumberFormat="0" applyFill="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29" borderId="0" applyNumberFormat="0" applyBorder="0" applyAlignment="0" applyProtection="0"/>
    <xf numFmtId="0" fontId="36" fillId="30" borderId="68" applyNumberFormat="0" applyFont="0" applyAlignment="0" applyProtection="0"/>
    <xf numFmtId="0" fontId="46" fillId="0" borderId="69" applyNumberFormat="0" applyFill="0" applyAlignment="0" applyProtection="0"/>
    <xf numFmtId="0" fontId="47" fillId="16" borderId="0" applyNumberFormat="0" applyBorder="0" applyAlignment="0" applyProtection="0"/>
    <xf numFmtId="0" fontId="48" fillId="0" borderId="0" applyNumberFormat="0" applyFill="0" applyBorder="0" applyAlignment="0" applyProtection="0"/>
    <xf numFmtId="0" fontId="49" fillId="19" borderId="70" applyNumberFormat="0" applyAlignment="0" applyProtection="0"/>
    <xf numFmtId="0" fontId="50" fillId="31" borderId="70" applyNumberFormat="0" applyAlignment="0" applyProtection="0"/>
    <xf numFmtId="0" fontId="51" fillId="31" borderId="71" applyNumberFormat="0" applyAlignment="0" applyProtection="0"/>
    <xf numFmtId="0" fontId="52" fillId="0" borderId="0" applyNumberFormat="0" applyFill="0" applyBorder="0" applyAlignment="0" applyProtection="0"/>
    <xf numFmtId="0" fontId="37" fillId="32"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35"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82" fillId="0" borderId="0"/>
    <xf numFmtId="9" fontId="8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1170">
    <xf numFmtId="0" fontId="0" fillId="0" borderId="0" xfId="0"/>
    <xf numFmtId="0" fontId="4" fillId="2" borderId="0" xfId="3" applyFont="1" applyFill="1"/>
    <xf numFmtId="0" fontId="4" fillId="2" borderId="1" xfId="3" applyFont="1" applyFill="1" applyBorder="1"/>
    <xf numFmtId="0" fontId="4" fillId="2" borderId="6" xfId="3" applyFont="1" applyFill="1" applyBorder="1" applyAlignment="1">
      <alignment horizontal="center"/>
    </xf>
    <xf numFmtId="0" fontId="4" fillId="2" borderId="7" xfId="3" applyFont="1" applyFill="1" applyBorder="1"/>
    <xf numFmtId="0" fontId="4" fillId="2" borderId="7" xfId="3" applyFont="1" applyFill="1" applyBorder="1" applyAlignment="1">
      <alignment horizontal="center"/>
    </xf>
    <xf numFmtId="0" fontId="4" fillId="2" borderId="1" xfId="3" applyFont="1" applyFill="1" applyBorder="1" applyAlignment="1">
      <alignment horizontal="center"/>
    </xf>
    <xf numFmtId="0" fontId="4" fillId="2" borderId="3" xfId="3" applyFont="1" applyFill="1" applyBorder="1" applyAlignment="1">
      <alignment horizontal="center"/>
    </xf>
    <xf numFmtId="0" fontId="4" fillId="2" borderId="3" xfId="3" applyFont="1" applyFill="1" applyBorder="1"/>
    <xf numFmtId="49" fontId="5" fillId="2" borderId="6" xfId="3" applyNumberFormat="1" applyFont="1" applyFill="1" applyBorder="1"/>
    <xf numFmtId="0" fontId="5" fillId="2" borderId="6" xfId="3" applyFont="1" applyFill="1" applyBorder="1"/>
    <xf numFmtId="0" fontId="5" fillId="2" borderId="6" xfId="3" applyFont="1" applyFill="1" applyBorder="1" applyAlignment="1">
      <alignment horizontal="center"/>
    </xf>
    <xf numFmtId="49" fontId="4" fillId="2" borderId="6" xfId="3" applyNumberFormat="1" applyFont="1" applyFill="1" applyBorder="1"/>
    <xf numFmtId="0" fontId="4" fillId="2" borderId="6" xfId="3" applyFont="1" applyFill="1" applyBorder="1"/>
    <xf numFmtId="164" fontId="4" fillId="2" borderId="6" xfId="3" applyNumberFormat="1" applyFont="1" applyFill="1" applyBorder="1"/>
    <xf numFmtId="164" fontId="4" fillId="2" borderId="9" xfId="3" applyNumberFormat="1" applyFont="1" applyFill="1" applyBorder="1"/>
    <xf numFmtId="0" fontId="4" fillId="2" borderId="11" xfId="3" applyFont="1" applyFill="1" applyBorder="1" applyAlignment="1">
      <alignment horizontal="center"/>
    </xf>
    <xf numFmtId="0" fontId="4" fillId="2" borderId="12" xfId="3" applyFont="1" applyFill="1" applyBorder="1" applyAlignment="1">
      <alignment horizontal="center"/>
    </xf>
    <xf numFmtId="0" fontId="4" fillId="2" borderId="11" xfId="3" applyFont="1" applyFill="1" applyBorder="1"/>
    <xf numFmtId="0" fontId="4" fillId="2" borderId="9" xfId="3" applyFont="1" applyFill="1" applyBorder="1" applyAlignment="1">
      <alignment horizontal="center"/>
    </xf>
    <xf numFmtId="0" fontId="6" fillId="2" borderId="12" xfId="3" applyFont="1" applyFill="1" applyBorder="1"/>
    <xf numFmtId="0" fontId="4" fillId="2" borderId="6" xfId="3" quotePrefix="1" applyFont="1" applyFill="1" applyBorder="1"/>
    <xf numFmtId="0" fontId="5" fillId="2" borderId="9" xfId="3" applyFont="1" applyFill="1" applyBorder="1" applyAlignment="1">
      <alignment horizontal="center"/>
    </xf>
    <xf numFmtId="0" fontId="4" fillId="2" borderId="16" xfId="3" applyFont="1" applyFill="1" applyBorder="1" applyAlignment="1">
      <alignment horizontal="center"/>
    </xf>
    <xf numFmtId="0" fontId="4" fillId="2" borderId="8" xfId="3" applyFont="1" applyFill="1" applyBorder="1" applyAlignment="1">
      <alignment horizontal="center" vertical="center"/>
    </xf>
    <xf numFmtId="0" fontId="1" fillId="0" borderId="0" xfId="0" applyFont="1"/>
    <xf numFmtId="0" fontId="4" fillId="2" borderId="4" xfId="3" applyFont="1" applyFill="1" applyBorder="1" applyAlignment="1">
      <alignment horizontal="center" vertical="center"/>
    </xf>
    <xf numFmtId="0" fontId="3" fillId="0" borderId="0" xfId="0" applyFont="1"/>
    <xf numFmtId="0" fontId="4" fillId="0" borderId="9" xfId="3" applyFont="1" applyBorder="1" applyAlignment="1">
      <alignment horizontal="center"/>
    </xf>
    <xf numFmtId="0" fontId="11" fillId="0" borderId="0" xfId="0" applyFont="1"/>
    <xf numFmtId="164" fontId="4" fillId="0" borderId="9" xfId="3" applyNumberFormat="1" applyFont="1" applyBorder="1"/>
    <xf numFmtId="0" fontId="13" fillId="0" borderId="0" xfId="0" applyFont="1"/>
    <xf numFmtId="0" fontId="15" fillId="0" borderId="0" xfId="0" applyFont="1"/>
    <xf numFmtId="0" fontId="13" fillId="0" borderId="9" xfId="0" applyFont="1" applyBorder="1"/>
    <xf numFmtId="2" fontId="13" fillId="0" borderId="0" xfId="0" applyNumberFormat="1" applyFont="1"/>
    <xf numFmtId="0" fontId="16" fillId="0" borderId="0" xfId="0" applyFont="1"/>
    <xf numFmtId="0" fontId="4" fillId="2" borderId="6" xfId="3" applyFont="1" applyFill="1" applyBorder="1" applyAlignment="1">
      <alignment vertical="center"/>
    </xf>
    <xf numFmtId="0" fontId="4" fillId="2" borderId="9" xfId="3" applyFont="1" applyFill="1" applyBorder="1" applyAlignment="1">
      <alignment horizontal="center" vertical="center"/>
    </xf>
    <xf numFmtId="0" fontId="4" fillId="0" borderId="6" xfId="3" applyFont="1" applyBorder="1"/>
    <xf numFmtId="49" fontId="5" fillId="0" borderId="6" xfId="3" applyNumberFormat="1" applyFont="1" applyBorder="1"/>
    <xf numFmtId="0" fontId="5" fillId="0" borderId="6" xfId="3" applyFont="1" applyBorder="1"/>
    <xf numFmtId="164" fontId="5" fillId="0" borderId="6" xfId="3" applyNumberFormat="1" applyFont="1" applyBorder="1"/>
    <xf numFmtId="49" fontId="4" fillId="0" borderId="6" xfId="3" applyNumberFormat="1" applyFont="1" applyBorder="1"/>
    <xf numFmtId="0" fontId="4" fillId="0" borderId="6" xfId="3" applyFont="1" applyBorder="1" applyAlignment="1">
      <alignment horizontal="center"/>
    </xf>
    <xf numFmtId="164" fontId="4" fillId="0" borderId="6" xfId="3" applyNumberFormat="1" applyFont="1" applyBorder="1"/>
    <xf numFmtId="0" fontId="4" fillId="0" borderId="6" xfId="3" quotePrefix="1" applyFont="1" applyBorder="1"/>
    <xf numFmtId="0" fontId="4" fillId="0" borderId="0" xfId="3" quotePrefix="1" applyFont="1"/>
    <xf numFmtId="0" fontId="4" fillId="0" borderId="0" xfId="3" applyFont="1"/>
    <xf numFmtId="0" fontId="4" fillId="0" borderId="0" xfId="3" applyFont="1" applyProtection="1">
      <protection locked="0"/>
    </xf>
    <xf numFmtId="0" fontId="4" fillId="0" borderId="4" xfId="3" applyFont="1" applyBorder="1"/>
    <xf numFmtId="0" fontId="3" fillId="0" borderId="9" xfId="0" applyFont="1" applyBorder="1"/>
    <xf numFmtId="0" fontId="12" fillId="0" borderId="9" xfId="0" applyFont="1" applyBorder="1" applyAlignment="1">
      <alignment horizontal="center" vertical="center" wrapText="1"/>
    </xf>
    <xf numFmtId="164" fontId="4" fillId="0" borderId="1" xfId="3" applyNumberFormat="1" applyFont="1" applyBorder="1"/>
    <xf numFmtId="164" fontId="4" fillId="0" borderId="16" xfId="3" applyNumberFormat="1" applyFont="1" applyBorder="1"/>
    <xf numFmtId="0" fontId="0" fillId="0" borderId="13" xfId="0" applyBorder="1"/>
    <xf numFmtId="0" fontId="4" fillId="0" borderId="20" xfId="3" applyFont="1" applyBorder="1" applyAlignment="1">
      <alignment horizontal="center"/>
    </xf>
    <xf numFmtId="0" fontId="4" fillId="0" borderId="24" xfId="3" applyFont="1" applyBorder="1" applyAlignment="1">
      <alignment horizontal="center"/>
    </xf>
    <xf numFmtId="0" fontId="13" fillId="0" borderId="28" xfId="0" applyFont="1" applyBorder="1"/>
    <xf numFmtId="0" fontId="15" fillId="0" borderId="28" xfId="0" applyFont="1" applyBorder="1"/>
    <xf numFmtId="0" fontId="14" fillId="0" borderId="28" xfId="0" applyFont="1" applyBorder="1"/>
    <xf numFmtId="0" fontId="14" fillId="0" borderId="29" xfId="0" applyFont="1" applyBorder="1"/>
    <xf numFmtId="0" fontId="15" fillId="0" borderId="30" xfId="0" applyFont="1" applyBorder="1"/>
    <xf numFmtId="0" fontId="13" fillId="0" borderId="31" xfId="0" applyFont="1" applyBorder="1"/>
    <xf numFmtId="0" fontId="13" fillId="0" borderId="32" xfId="0" applyFont="1" applyBorder="1"/>
    <xf numFmtId="0" fontId="13" fillId="0" borderId="29" xfId="0" applyFont="1" applyBorder="1"/>
    <xf numFmtId="0" fontId="13" fillId="0" borderId="30" xfId="0" applyFont="1" applyBorder="1"/>
    <xf numFmtId="0" fontId="13" fillId="0" borderId="37" xfId="0" applyFont="1" applyBorder="1"/>
    <xf numFmtId="167" fontId="15" fillId="0" borderId="31" xfId="0" applyNumberFormat="1" applyFont="1" applyBorder="1"/>
    <xf numFmtId="167" fontId="3" fillId="0" borderId="31" xfId="0" applyNumberFormat="1" applyFont="1" applyBorder="1"/>
    <xf numFmtId="2" fontId="13" fillId="0" borderId="31" xfId="0" applyNumberFormat="1" applyFont="1" applyBorder="1"/>
    <xf numFmtId="0" fontId="13" fillId="0" borderId="42" xfId="0" applyFont="1" applyBorder="1" applyAlignment="1">
      <alignment horizontal="left" wrapText="1"/>
    </xf>
    <xf numFmtId="0" fontId="3" fillId="0" borderId="9" xfId="3" applyBorder="1" applyAlignment="1">
      <alignment horizontal="center"/>
    </xf>
    <xf numFmtId="167" fontId="3" fillId="0" borderId="9" xfId="0" applyNumberFormat="1" applyFont="1" applyBorder="1"/>
    <xf numFmtId="0" fontId="13" fillId="0" borderId="42" xfId="0" applyFont="1" applyBorder="1"/>
    <xf numFmtId="0" fontId="3" fillId="0" borderId="0" xfId="3"/>
    <xf numFmtId="0" fontId="8" fillId="0" borderId="37" xfId="0" applyFont="1" applyBorder="1"/>
    <xf numFmtId="0" fontId="18" fillId="6" borderId="0" xfId="0" applyFont="1" applyFill="1"/>
    <xf numFmtId="0" fontId="14" fillId="0" borderId="0" xfId="0" applyFont="1"/>
    <xf numFmtId="0" fontId="13" fillId="0" borderId="0" xfId="0" applyFont="1" applyAlignment="1">
      <alignment horizontal="left"/>
    </xf>
    <xf numFmtId="49" fontId="4" fillId="2" borderId="16" xfId="3" applyNumberFormat="1" applyFont="1" applyFill="1" applyBorder="1" applyAlignment="1">
      <alignment horizontal="center"/>
    </xf>
    <xf numFmtId="49" fontId="4" fillId="2" borderId="44" xfId="3" applyNumberFormat="1" applyFont="1" applyFill="1" applyBorder="1"/>
    <xf numFmtId="0" fontId="13" fillId="8" borderId="0" xfId="0" applyFont="1" applyFill="1"/>
    <xf numFmtId="0" fontId="14" fillId="8" borderId="0" xfId="0" applyFont="1" applyFill="1"/>
    <xf numFmtId="0" fontId="13" fillId="9" borderId="0" xfId="0" applyFont="1" applyFill="1"/>
    <xf numFmtId="0" fontId="14" fillId="9" borderId="0" xfId="0" applyFont="1" applyFill="1"/>
    <xf numFmtId="0" fontId="4" fillId="2" borderId="2" xfId="3" applyFont="1" applyFill="1" applyBorder="1" applyAlignment="1">
      <alignment horizontal="center"/>
    </xf>
    <xf numFmtId="164" fontId="5" fillId="0" borderId="9" xfId="3" applyNumberFormat="1" applyFont="1" applyBorder="1"/>
    <xf numFmtId="164" fontId="4" fillId="0" borderId="3" xfId="3" applyNumberFormat="1" applyFont="1" applyBorder="1"/>
    <xf numFmtId="164" fontId="5" fillId="0" borderId="1" xfId="3" applyNumberFormat="1" applyFont="1" applyBorder="1"/>
    <xf numFmtId="0" fontId="4" fillId="2" borderId="16" xfId="3" applyFont="1" applyFill="1" applyBorder="1" applyAlignment="1">
      <alignment horizontal="center" vertical="center" wrapText="1"/>
    </xf>
    <xf numFmtId="0" fontId="20" fillId="0" borderId="17" xfId="0" applyFont="1" applyBorder="1" applyAlignment="1">
      <alignment horizontal="center" vertical="center"/>
    </xf>
    <xf numFmtId="0" fontId="4" fillId="2" borderId="8" xfId="3" applyFont="1" applyFill="1" applyBorder="1" applyAlignment="1">
      <alignment horizontal="center" vertical="center" wrapText="1"/>
    </xf>
    <xf numFmtId="0" fontId="24" fillId="2" borderId="16" xfId="3" applyFont="1" applyFill="1" applyBorder="1" applyAlignment="1">
      <alignment horizontal="center" vertical="center" wrapText="1"/>
    </xf>
    <xf numFmtId="0" fontId="13" fillId="0" borderId="41" xfId="0" applyFont="1" applyBorder="1" applyAlignment="1">
      <alignment horizontal="left" wrapText="1"/>
    </xf>
    <xf numFmtId="49" fontId="4" fillId="0" borderId="0" xfId="3" applyNumberFormat="1" applyFont="1"/>
    <xf numFmtId="0" fontId="4" fillId="0" borderId="0" xfId="3" applyFont="1" applyAlignment="1">
      <alignment horizontal="center"/>
    </xf>
    <xf numFmtId="164" fontId="4" fillId="0" borderId="0" xfId="3" applyNumberFormat="1" applyFont="1"/>
    <xf numFmtId="164" fontId="5" fillId="0" borderId="0" xfId="3" applyNumberFormat="1" applyFont="1" applyAlignment="1">
      <alignment horizontal="center"/>
    </xf>
    <xf numFmtId="168" fontId="20" fillId="0" borderId="0" xfId="0" applyNumberFormat="1" applyFont="1" applyAlignment="1">
      <alignment horizontal="right"/>
    </xf>
    <xf numFmtId="0" fontId="4" fillId="0" borderId="23" xfId="3" applyFont="1" applyBorder="1" applyAlignment="1">
      <alignment horizontal="center"/>
    </xf>
    <xf numFmtId="0" fontId="4" fillId="2" borderId="49" xfId="3" applyFont="1" applyFill="1" applyBorder="1" applyAlignment="1">
      <alignment horizontal="center"/>
    </xf>
    <xf numFmtId="0" fontId="4" fillId="2" borderId="19" xfId="3" applyFont="1" applyFill="1" applyBorder="1" applyAlignment="1">
      <alignment horizontal="center"/>
    </xf>
    <xf numFmtId="0" fontId="3" fillId="0" borderId="0" xfId="3" applyAlignment="1">
      <alignment horizontal="left"/>
    </xf>
    <xf numFmtId="0" fontId="26" fillId="6" borderId="0" xfId="0" applyFont="1" applyFill="1"/>
    <xf numFmtId="0" fontId="25" fillId="0" borderId="28" xfId="0" applyFont="1" applyBorder="1"/>
    <xf numFmtId="0" fontId="25" fillId="0" borderId="0" xfId="0" applyFont="1"/>
    <xf numFmtId="2" fontId="3" fillId="0" borderId="2" xfId="0" applyNumberFormat="1" applyFont="1" applyBorder="1" applyAlignment="1">
      <alignment horizontal="right" indent="1"/>
    </xf>
    <xf numFmtId="2" fontId="13" fillId="0" borderId="0" xfId="0" applyNumberFormat="1" applyFont="1" applyAlignment="1">
      <alignment horizontal="right" indent="2"/>
    </xf>
    <xf numFmtId="2" fontId="19" fillId="0" borderId="41" xfId="0" applyNumberFormat="1" applyFont="1" applyBorder="1"/>
    <xf numFmtId="0" fontId="3" fillId="0" borderId="41" xfId="0" applyFont="1" applyBorder="1"/>
    <xf numFmtId="2" fontId="19" fillId="0" borderId="0" xfId="0" applyNumberFormat="1" applyFont="1"/>
    <xf numFmtId="168" fontId="4" fillId="7" borderId="9" xfId="3" applyNumberFormat="1" applyFont="1" applyFill="1" applyBorder="1"/>
    <xf numFmtId="168" fontId="27" fillId="0" borderId="0" xfId="3" applyNumberFormat="1" applyFont="1"/>
    <xf numFmtId="0" fontId="27" fillId="0" borderId="0" xfId="1" applyFont="1"/>
    <xf numFmtId="0" fontId="27" fillId="0" borderId="0" xfId="3" applyFont="1" applyProtection="1">
      <protection locked="0"/>
    </xf>
    <xf numFmtId="170" fontId="5" fillId="2" borderId="6" xfId="3" applyNumberFormat="1" applyFont="1" applyFill="1" applyBorder="1"/>
    <xf numFmtId="170" fontId="5" fillId="2" borderId="9" xfId="3" applyNumberFormat="1" applyFont="1" applyFill="1" applyBorder="1"/>
    <xf numFmtId="170" fontId="4" fillId="0" borderId="43" xfId="3" applyNumberFormat="1" applyFont="1" applyBorder="1"/>
    <xf numFmtId="170" fontId="4" fillId="0" borderId="44" xfId="3" applyNumberFormat="1" applyFont="1" applyBorder="1"/>
    <xf numFmtId="170" fontId="4" fillId="0" borderId="6" xfId="3" applyNumberFormat="1" applyFont="1" applyBorder="1"/>
    <xf numFmtId="170" fontId="4" fillId="7" borderId="6" xfId="3" applyNumberFormat="1" applyFont="1" applyFill="1" applyBorder="1"/>
    <xf numFmtId="170" fontId="4" fillId="7" borderId="9" xfId="3" applyNumberFormat="1" applyFont="1" applyFill="1" applyBorder="1"/>
    <xf numFmtId="170" fontId="4" fillId="2" borderId="6" xfId="3" applyNumberFormat="1" applyFont="1" applyFill="1" applyBorder="1"/>
    <xf numFmtId="170" fontId="4" fillId="2" borderId="9" xfId="3" applyNumberFormat="1" applyFont="1" applyFill="1" applyBorder="1"/>
    <xf numFmtId="170" fontId="5" fillId="0" borderId="18" xfId="3" applyNumberFormat="1" applyFont="1" applyBorder="1"/>
    <xf numFmtId="170" fontId="5" fillId="0" borderId="46" xfId="3" applyNumberFormat="1" applyFont="1" applyBorder="1"/>
    <xf numFmtId="170" fontId="5" fillId="0" borderId="22" xfId="3" applyNumberFormat="1" applyFont="1" applyBorder="1"/>
    <xf numFmtId="170" fontId="5" fillId="0" borderId="19" xfId="3" applyNumberFormat="1" applyFont="1" applyBorder="1"/>
    <xf numFmtId="170" fontId="4" fillId="0" borderId="22" xfId="3" applyNumberFormat="1" applyFont="1" applyBorder="1"/>
    <xf numFmtId="170" fontId="4" fillId="0" borderId="19" xfId="3" applyNumberFormat="1" applyFont="1" applyBorder="1"/>
    <xf numFmtId="170" fontId="4" fillId="0" borderId="23" xfId="3" applyNumberFormat="1" applyFont="1" applyBorder="1"/>
    <xf numFmtId="170" fontId="4" fillId="0" borderId="24" xfId="3" applyNumberFormat="1" applyFont="1" applyBorder="1"/>
    <xf numFmtId="170" fontId="5" fillId="0" borderId="21" xfId="3" applyNumberFormat="1" applyFont="1" applyBorder="1"/>
    <xf numFmtId="170" fontId="4" fillId="0" borderId="49" xfId="3" applyNumberFormat="1" applyFont="1" applyBorder="1"/>
    <xf numFmtId="170" fontId="4" fillId="0" borderId="19" xfId="0" applyNumberFormat="1" applyFont="1" applyBorder="1"/>
    <xf numFmtId="2" fontId="4" fillId="0" borderId="49" xfId="3" applyNumberFormat="1" applyFont="1" applyBorder="1"/>
    <xf numFmtId="2" fontId="4" fillId="0" borderId="19" xfId="0" applyNumberFormat="1" applyFont="1" applyBorder="1"/>
    <xf numFmtId="2" fontId="4" fillId="2" borderId="6" xfId="3" applyNumberFormat="1" applyFont="1" applyFill="1" applyBorder="1"/>
    <xf numFmtId="2" fontId="4" fillId="2" borderId="9" xfId="3" applyNumberFormat="1" applyFont="1" applyFill="1" applyBorder="1"/>
    <xf numFmtId="2" fontId="5" fillId="0" borderId="49" xfId="3" applyNumberFormat="1" applyFont="1" applyBorder="1"/>
    <xf numFmtId="2" fontId="5" fillId="0" borderId="19" xfId="0" applyNumberFormat="1" applyFont="1" applyBorder="1"/>
    <xf numFmtId="2" fontId="5" fillId="0" borderId="52" xfId="3" applyNumberFormat="1" applyFont="1" applyBorder="1"/>
    <xf numFmtId="2" fontId="5" fillId="0" borderId="22" xfId="3" applyNumberFormat="1" applyFont="1" applyBorder="1"/>
    <xf numFmtId="2" fontId="5" fillId="0" borderId="19" xfId="3" applyNumberFormat="1" applyFont="1" applyBorder="1"/>
    <xf numFmtId="2" fontId="5" fillId="0" borderId="24" xfId="3" applyNumberFormat="1" applyFont="1" applyBorder="1"/>
    <xf numFmtId="0" fontId="28" fillId="0" borderId="0" xfId="0" applyFont="1"/>
    <xf numFmtId="0" fontId="20" fillId="0" borderId="0" xfId="0" applyFont="1"/>
    <xf numFmtId="170" fontId="4" fillId="0" borderId="0" xfId="3" applyNumberFormat="1" applyFont="1"/>
    <xf numFmtId="0" fontId="13" fillId="0" borderId="9" xfId="0" applyFont="1" applyBorder="1" applyAlignment="1">
      <alignment horizontal="center"/>
    </xf>
    <xf numFmtId="170" fontId="4" fillId="7" borderId="19" xfId="3" applyNumberFormat="1" applyFont="1" applyFill="1" applyBorder="1"/>
    <xf numFmtId="170" fontId="4" fillId="7" borderId="22" xfId="3" applyNumberFormat="1" applyFont="1" applyFill="1" applyBorder="1"/>
    <xf numFmtId="0" fontId="4" fillId="0" borderId="51" xfId="3" applyFont="1" applyBorder="1" applyAlignment="1">
      <alignment horizontal="center"/>
    </xf>
    <xf numFmtId="0" fontId="4" fillId="0" borderId="47" xfId="3" applyFont="1" applyBorder="1" applyAlignment="1">
      <alignment horizontal="center"/>
    </xf>
    <xf numFmtId="168" fontId="20" fillId="0" borderId="3" xfId="0" applyNumberFormat="1" applyFont="1" applyBorder="1" applyAlignment="1">
      <alignment horizontal="right"/>
    </xf>
    <xf numFmtId="0" fontId="5" fillId="0" borderId="3" xfId="3" applyFont="1" applyBorder="1" applyAlignment="1">
      <alignment horizontal="center"/>
    </xf>
    <xf numFmtId="0" fontId="5" fillId="0" borderId="3" xfId="3" applyFont="1" applyBorder="1"/>
    <xf numFmtId="49" fontId="5" fillId="0" borderId="3" xfId="3" applyNumberFormat="1" applyFont="1" applyBorder="1"/>
    <xf numFmtId="0" fontId="5" fillId="0" borderId="61" xfId="3" applyFont="1" applyBorder="1" applyAlignment="1">
      <alignment horizontal="center" vertical="center" wrapText="1"/>
    </xf>
    <xf numFmtId="0" fontId="30" fillId="0" borderId="0" xfId="0" applyFont="1" applyAlignment="1">
      <alignment horizontal="center"/>
    </xf>
    <xf numFmtId="164" fontId="10" fillId="3" borderId="6" xfId="3" applyNumberFormat="1" applyFont="1" applyFill="1" applyBorder="1"/>
    <xf numFmtId="164" fontId="10" fillId="3" borderId="5" xfId="3" applyNumberFormat="1" applyFont="1" applyFill="1" applyBorder="1"/>
    <xf numFmtId="0" fontId="4" fillId="0" borderId="6" xfId="3" applyFont="1" applyBorder="1" applyAlignment="1" applyProtection="1">
      <alignment horizontal="left"/>
      <protection locked="0"/>
    </xf>
    <xf numFmtId="0" fontId="4" fillId="0" borderId="5" xfId="3" applyFont="1" applyBorder="1" applyAlignment="1" applyProtection="1">
      <alignment horizontal="left"/>
      <protection locked="0"/>
    </xf>
    <xf numFmtId="2" fontId="4" fillId="0" borderId="49" xfId="3" applyNumberFormat="1" applyFont="1" applyBorder="1" applyAlignment="1">
      <alignment horizontal="right"/>
    </xf>
    <xf numFmtId="0" fontId="13" fillId="0" borderId="0" xfId="0" applyFont="1" applyAlignment="1">
      <alignment wrapText="1"/>
    </xf>
    <xf numFmtId="0" fontId="34" fillId="13" borderId="10" xfId="5" applyFont="1" applyFill="1" applyBorder="1"/>
    <xf numFmtId="0" fontId="2" fillId="2" borderId="7" xfId="5" applyFill="1" applyBorder="1"/>
    <xf numFmtId="0" fontId="2" fillId="2" borderId="0" xfId="5" applyFill="1"/>
    <xf numFmtId="0" fontId="2" fillId="2" borderId="10" xfId="5" applyFill="1" applyBorder="1"/>
    <xf numFmtId="0" fontId="2" fillId="2" borderId="9" xfId="5" applyFill="1" applyBorder="1" applyAlignment="1">
      <alignment horizontal="center"/>
    </xf>
    <xf numFmtId="0" fontId="2" fillId="2" borderId="3" xfId="5" applyFill="1" applyBorder="1"/>
    <xf numFmtId="0" fontId="2" fillId="2" borderId="4" xfId="5" applyFill="1" applyBorder="1"/>
    <xf numFmtId="14" fontId="2" fillId="2" borderId="9" xfId="5" applyNumberFormat="1" applyFill="1" applyBorder="1" applyAlignment="1">
      <alignment horizontal="center"/>
    </xf>
    <xf numFmtId="0" fontId="2" fillId="2" borderId="9" xfId="5" applyFill="1" applyBorder="1" applyAlignment="1">
      <alignment horizontal="left"/>
    </xf>
    <xf numFmtId="0" fontId="2" fillId="0" borderId="0" xfId="5"/>
    <xf numFmtId="0" fontId="34" fillId="13" borderId="7" xfId="5" applyFont="1" applyFill="1" applyBorder="1"/>
    <xf numFmtId="0" fontId="34" fillId="13" borderId="0" xfId="5" applyFont="1" applyFill="1"/>
    <xf numFmtId="0" fontId="35" fillId="2" borderId="0" xfId="5" applyFont="1" applyFill="1"/>
    <xf numFmtId="0" fontId="19" fillId="0" borderId="0" xfId="5" applyFont="1"/>
    <xf numFmtId="0" fontId="2" fillId="2" borderId="16" xfId="5" applyFill="1" applyBorder="1" applyAlignment="1">
      <alignment horizontal="left"/>
    </xf>
    <xf numFmtId="0" fontId="33" fillId="0" borderId="0" xfId="5" applyFont="1"/>
    <xf numFmtId="0" fontId="31" fillId="0" borderId="0" xfId="5" applyFont="1" applyAlignment="1">
      <alignment vertical="top" wrapText="1"/>
    </xf>
    <xf numFmtId="0" fontId="35" fillId="2" borderId="10" xfId="5" applyFont="1" applyFill="1" applyBorder="1"/>
    <xf numFmtId="0" fontId="4" fillId="0" borderId="49" xfId="3" applyFont="1" applyBorder="1" applyAlignment="1">
      <alignment horizontal="center"/>
    </xf>
    <xf numFmtId="0" fontId="4" fillId="0" borderId="19" xfId="3" applyFont="1" applyBorder="1" applyAlignment="1">
      <alignment horizontal="center"/>
    </xf>
    <xf numFmtId="0" fontId="4" fillId="0" borderId="5" xfId="3" applyFont="1" applyBorder="1" applyProtection="1">
      <protection locked="0"/>
    </xf>
    <xf numFmtId="0" fontId="4" fillId="0" borderId="2" xfId="3" applyFont="1" applyBorder="1" applyProtection="1">
      <protection locked="0"/>
    </xf>
    <xf numFmtId="0" fontId="4" fillId="0" borderId="14" xfId="3" applyFont="1" applyBorder="1" applyAlignment="1" applyProtection="1">
      <alignment horizontal="center"/>
      <protection locked="0"/>
    </xf>
    <xf numFmtId="10" fontId="10" fillId="4" borderId="13" xfId="3" applyNumberFormat="1" applyFont="1" applyFill="1" applyBorder="1" applyProtection="1">
      <protection locked="0"/>
    </xf>
    <xf numFmtId="0" fontId="4" fillId="0" borderId="6" xfId="3" applyFont="1" applyBorder="1" applyAlignment="1" applyProtection="1">
      <alignment horizontal="center"/>
      <protection locked="0"/>
    </xf>
    <xf numFmtId="10" fontId="10" fillId="4" borderId="6" xfId="3" applyNumberFormat="1" applyFont="1" applyFill="1" applyBorder="1" applyProtection="1">
      <protection locked="0"/>
    </xf>
    <xf numFmtId="0" fontId="4" fillId="0" borderId="13" xfId="3" applyFont="1" applyBorder="1" applyAlignment="1" applyProtection="1">
      <alignment horizontal="center"/>
      <protection locked="0"/>
    </xf>
    <xf numFmtId="0" fontId="29" fillId="0" borderId="0" xfId="0" applyFont="1"/>
    <xf numFmtId="0" fontId="54" fillId="0" borderId="0" xfId="0" applyFont="1"/>
    <xf numFmtId="0" fontId="55" fillId="0" borderId="0" xfId="0" applyFont="1"/>
    <xf numFmtId="0" fontId="56" fillId="0" borderId="0" xfId="0" applyFont="1"/>
    <xf numFmtId="0" fontId="55" fillId="0" borderId="0" xfId="0" applyFont="1" applyAlignment="1">
      <alignment vertical="center"/>
    </xf>
    <xf numFmtId="0" fontId="27" fillId="0" borderId="0" xfId="0" applyFont="1"/>
    <xf numFmtId="0" fontId="2" fillId="0" borderId="0" xfId="3" applyFont="1" applyProtection="1">
      <protection locked="0"/>
    </xf>
    <xf numFmtId="170" fontId="4" fillId="0" borderId="52" xfId="3" applyNumberFormat="1" applyFont="1" applyBorder="1"/>
    <xf numFmtId="2" fontId="4" fillId="0" borderId="19" xfId="3" applyNumberFormat="1" applyFont="1" applyBorder="1" applyAlignment="1">
      <alignment horizontal="right"/>
    </xf>
    <xf numFmtId="0" fontId="4" fillId="2" borderId="52" xfId="3" applyFont="1" applyFill="1" applyBorder="1" applyAlignment="1">
      <alignment horizontal="center" vertical="center"/>
    </xf>
    <xf numFmtId="0" fontId="4" fillId="2" borderId="24" xfId="3" applyFont="1" applyFill="1" applyBorder="1" applyAlignment="1">
      <alignment horizontal="center" vertical="center"/>
    </xf>
    <xf numFmtId="2" fontId="4" fillId="0" borderId="25" xfId="3" applyNumberFormat="1" applyFont="1" applyBorder="1"/>
    <xf numFmtId="2" fontId="4" fillId="0" borderId="26" xfId="0" applyNumberFormat="1" applyFont="1" applyBorder="1"/>
    <xf numFmtId="2" fontId="4" fillId="0" borderId="58" xfId="3" applyNumberFormat="1" applyFont="1" applyBorder="1"/>
    <xf numFmtId="2" fontId="4" fillId="0" borderId="26" xfId="3" applyNumberFormat="1" applyFont="1" applyBorder="1"/>
    <xf numFmtId="0" fontId="4" fillId="0" borderId="61" xfId="3" applyFont="1" applyBorder="1" applyAlignment="1" applyProtection="1">
      <alignment horizontal="center" vertical="center" wrapText="1"/>
      <protection locked="0"/>
    </xf>
    <xf numFmtId="0" fontId="4" fillId="0" borderId="19" xfId="3" applyFont="1" applyBorder="1" applyAlignment="1" applyProtection="1">
      <alignment horizontal="center"/>
      <protection locked="0"/>
    </xf>
    <xf numFmtId="10" fontId="10" fillId="4" borderId="19" xfId="3" applyNumberFormat="1" applyFont="1" applyFill="1" applyBorder="1" applyProtection="1">
      <protection locked="0"/>
    </xf>
    <xf numFmtId="49" fontId="4" fillId="2" borderId="9" xfId="3" applyNumberFormat="1" applyFont="1" applyFill="1" applyBorder="1"/>
    <xf numFmtId="49" fontId="4" fillId="2" borderId="9" xfId="3" applyNumberFormat="1" applyFont="1" applyFill="1" applyBorder="1" applyAlignment="1">
      <alignment horizontal="center"/>
    </xf>
    <xf numFmtId="164" fontId="58" fillId="0" borderId="0" xfId="3" applyNumberFormat="1" applyFont="1" applyAlignment="1">
      <alignment horizontal="right"/>
    </xf>
    <xf numFmtId="0" fontId="26" fillId="0" borderId="0" xfId="0" applyFont="1"/>
    <xf numFmtId="0" fontId="0" fillId="0" borderId="39" xfId="0" applyBorder="1" applyAlignment="1">
      <alignment horizontal="left" wrapText="1"/>
    </xf>
    <xf numFmtId="0" fontId="0" fillId="0" borderId="42" xfId="0" applyBorder="1" applyAlignment="1">
      <alignment horizontal="left" wrapText="1"/>
    </xf>
    <xf numFmtId="0" fontId="15" fillId="0" borderId="0" xfId="3" applyFont="1" applyAlignment="1">
      <alignment horizontal="left"/>
    </xf>
    <xf numFmtId="0" fontId="15" fillId="0" borderId="2" xfId="3" applyFont="1" applyBorder="1"/>
    <xf numFmtId="2" fontId="15" fillId="0" borderId="2" xfId="0" applyNumberFormat="1" applyFont="1" applyBorder="1" applyAlignment="1">
      <alignment horizontal="right" indent="1"/>
    </xf>
    <xf numFmtId="2" fontId="15" fillId="0" borderId="0" xfId="0" applyNumberFormat="1" applyFont="1" applyAlignment="1">
      <alignment horizontal="right" indent="2"/>
    </xf>
    <xf numFmtId="0" fontId="2" fillId="7" borderId="6" xfId="0" applyFont="1" applyFill="1" applyBorder="1"/>
    <xf numFmtId="0" fontId="2" fillId="7" borderId="5" xfId="0" applyFont="1" applyFill="1" applyBorder="1"/>
    <xf numFmtId="0" fontId="2" fillId="7" borderId="13" xfId="0" applyFont="1" applyFill="1" applyBorder="1"/>
    <xf numFmtId="0" fontId="3" fillId="0" borderId="6" xfId="0" applyFont="1" applyBorder="1"/>
    <xf numFmtId="0" fontId="3" fillId="0" borderId="5" xfId="0" applyFont="1" applyBorder="1"/>
    <xf numFmtId="0" fontId="3" fillId="0" borderId="13" xfId="0" applyFont="1" applyBorder="1"/>
    <xf numFmtId="0" fontId="3" fillId="11" borderId="6" xfId="3" applyFill="1" applyBorder="1"/>
    <xf numFmtId="0" fontId="3" fillId="11" borderId="5" xfId="3" applyFill="1" applyBorder="1"/>
    <xf numFmtId="0" fontId="3" fillId="11" borderId="13" xfId="3" applyFill="1" applyBorder="1"/>
    <xf numFmtId="0" fontId="25" fillId="0" borderId="39" xfId="0" applyFont="1" applyBorder="1" applyAlignment="1">
      <alignment wrapText="1"/>
    </xf>
    <xf numFmtId="0" fontId="25" fillId="0" borderId="42" xfId="0" applyFont="1" applyBorder="1" applyAlignment="1">
      <alignment wrapText="1"/>
    </xf>
    <xf numFmtId="0" fontId="13" fillId="0" borderId="5" xfId="0" applyFont="1" applyBorder="1" applyAlignment="1">
      <alignment vertical="center"/>
    </xf>
    <xf numFmtId="0" fontId="13" fillId="0" borderId="6" xfId="0" applyFont="1" applyBorder="1"/>
    <xf numFmtId="0" fontId="13" fillId="0" borderId="5" xfId="0" applyFont="1" applyBorder="1"/>
    <xf numFmtId="0" fontId="0" fillId="0" borderId="5" xfId="0" applyBorder="1"/>
    <xf numFmtId="0" fontId="0" fillId="0" borderId="39" xfId="0" applyBorder="1"/>
    <xf numFmtId="0" fontId="0" fillId="0" borderId="42" xfId="0" applyBorder="1"/>
    <xf numFmtId="0" fontId="13" fillId="0" borderId="0" xfId="0" applyFont="1" applyAlignment="1">
      <alignment horizontal="center"/>
    </xf>
    <xf numFmtId="167" fontId="3" fillId="0" borderId="0" xfId="0" applyNumberFormat="1" applyFont="1"/>
    <xf numFmtId="1" fontId="4" fillId="5" borderId="6" xfId="3" applyNumberFormat="1" applyFont="1" applyFill="1" applyBorder="1" applyAlignment="1">
      <alignment horizontal="center"/>
    </xf>
    <xf numFmtId="170" fontId="4" fillId="5" borderId="6" xfId="3" applyNumberFormat="1" applyFont="1" applyFill="1" applyBorder="1" applyAlignment="1">
      <alignment horizontal="center"/>
    </xf>
    <xf numFmtId="0" fontId="14" fillId="0" borderId="31" xfId="0" applyFont="1" applyBorder="1"/>
    <xf numFmtId="0" fontId="19" fillId="0" borderId="31" xfId="0" applyFont="1" applyBorder="1"/>
    <xf numFmtId="168" fontId="20" fillId="0" borderId="82" xfId="0" applyNumberFormat="1" applyFont="1" applyBorder="1" applyAlignment="1">
      <alignment horizontal="right"/>
    </xf>
    <xf numFmtId="0" fontId="4" fillId="2" borderId="9" xfId="3" applyFont="1" applyFill="1" applyBorder="1"/>
    <xf numFmtId="170" fontId="5" fillId="2" borderId="7" xfId="3" applyNumberFormat="1" applyFont="1" applyFill="1" applyBorder="1"/>
    <xf numFmtId="170" fontId="5" fillId="2" borderId="17" xfId="3" applyNumberFormat="1" applyFont="1" applyFill="1" applyBorder="1"/>
    <xf numFmtId="49" fontId="4" fillId="2" borderId="17" xfId="3" applyNumberFormat="1" applyFont="1" applyFill="1" applyBorder="1" applyAlignment="1">
      <alignment horizontal="center"/>
    </xf>
    <xf numFmtId="170" fontId="5" fillId="2" borderId="3" xfId="3" applyNumberFormat="1" applyFont="1" applyFill="1" applyBorder="1"/>
    <xf numFmtId="170" fontId="5" fillId="2" borderId="8" xfId="3" applyNumberFormat="1" applyFont="1" applyFill="1" applyBorder="1"/>
    <xf numFmtId="49" fontId="4" fillId="2" borderId="8" xfId="3" applyNumberFormat="1" applyFont="1" applyFill="1" applyBorder="1" applyAlignment="1">
      <alignment horizontal="center"/>
    </xf>
    <xf numFmtId="170" fontId="4" fillId="7" borderId="1" xfId="3" applyNumberFormat="1" applyFont="1" applyFill="1" applyBorder="1"/>
    <xf numFmtId="0" fontId="18" fillId="0" borderId="0" xfId="0" applyFont="1"/>
    <xf numFmtId="0" fontId="4" fillId="0" borderId="0" xfId="3" applyFont="1" applyAlignment="1" applyProtection="1">
      <alignment horizontal="right"/>
      <protection locked="0"/>
    </xf>
    <xf numFmtId="170" fontId="4" fillId="0" borderId="0" xfId="3" applyNumberFormat="1" applyFont="1" applyProtection="1">
      <protection locked="0"/>
    </xf>
    <xf numFmtId="0" fontId="13" fillId="0" borderId="36" xfId="0" applyFont="1" applyBorder="1"/>
    <xf numFmtId="164" fontId="10" fillId="4" borderId="6" xfId="3" applyNumberFormat="1" applyFont="1" applyFill="1" applyBorder="1"/>
    <xf numFmtId="9" fontId="4" fillId="0" borderId="9" xfId="3" applyNumberFormat="1" applyFont="1" applyBorder="1" applyProtection="1">
      <protection locked="0"/>
    </xf>
    <xf numFmtId="9" fontId="4" fillId="0" borderId="9" xfId="0" applyNumberFormat="1" applyFont="1" applyBorder="1"/>
    <xf numFmtId="0" fontId="31" fillId="0" borderId="0" xfId="3" applyFont="1" applyAlignment="1" applyProtection="1">
      <alignment horizontal="left"/>
      <protection locked="0"/>
    </xf>
    <xf numFmtId="0" fontId="31" fillId="0" borderId="0" xfId="3" applyFont="1"/>
    <xf numFmtId="0" fontId="31" fillId="0" borderId="0" xfId="3" applyFont="1" applyProtection="1">
      <protection locked="0"/>
    </xf>
    <xf numFmtId="0" fontId="59" fillId="0" borderId="0" xfId="3" applyFont="1" applyProtection="1">
      <protection locked="0"/>
    </xf>
    <xf numFmtId="0" fontId="28" fillId="0" borderId="9" xfId="0" applyFont="1" applyBorder="1"/>
    <xf numFmtId="0" fontId="57" fillId="0" borderId="0" xfId="0" applyFont="1" applyAlignment="1">
      <alignment horizontal="center" vertical="center" wrapText="1"/>
    </xf>
    <xf numFmtId="0" fontId="57" fillId="0" borderId="0" xfId="0" applyFont="1"/>
    <xf numFmtId="0" fontId="64" fillId="0" borderId="0" xfId="0" applyFont="1"/>
    <xf numFmtId="170" fontId="57" fillId="0" borderId="0" xfId="3" applyNumberFormat="1" applyFont="1"/>
    <xf numFmtId="10" fontId="4" fillId="0" borderId="9" xfId="3" applyNumberFormat="1" applyFont="1" applyBorder="1"/>
    <xf numFmtId="0" fontId="56" fillId="0" borderId="9" xfId="0" applyFont="1" applyBorder="1"/>
    <xf numFmtId="170" fontId="4" fillId="0" borderId="9" xfId="3" applyNumberFormat="1" applyFont="1" applyBorder="1"/>
    <xf numFmtId="0" fontId="66" fillId="0" borderId="0" xfId="0" applyFont="1"/>
    <xf numFmtId="0" fontId="20" fillId="0" borderId="0" xfId="0" applyFont="1" applyAlignment="1">
      <alignment horizontal="right"/>
    </xf>
    <xf numFmtId="0" fontId="14" fillId="0" borderId="0" xfId="0" applyFont="1" applyAlignment="1">
      <alignment horizontal="right"/>
    </xf>
    <xf numFmtId="0" fontId="19" fillId="0" borderId="0" xfId="0" applyFont="1"/>
    <xf numFmtId="14" fontId="20" fillId="0" borderId="0" xfId="0" applyNumberFormat="1" applyFont="1"/>
    <xf numFmtId="0" fontId="2" fillId="0" borderId="0" xfId="0" applyFont="1" applyAlignment="1">
      <alignment horizontal="left" wrapText="1"/>
    </xf>
    <xf numFmtId="0" fontId="65" fillId="0" borderId="0" xfId="0" applyFont="1"/>
    <xf numFmtId="0" fontId="2" fillId="0" borderId="0" xfId="0" applyFont="1"/>
    <xf numFmtId="0" fontId="59" fillId="0" borderId="0" xfId="0" applyFont="1"/>
    <xf numFmtId="0" fontId="19" fillId="0" borderId="30" xfId="0" applyFont="1" applyBorder="1"/>
    <xf numFmtId="0" fontId="2" fillId="0" borderId="0" xfId="0" applyFont="1" applyAlignment="1">
      <alignment horizontal="left"/>
    </xf>
    <xf numFmtId="0" fontId="59" fillId="0" borderId="0" xfId="0" applyFont="1" applyAlignment="1">
      <alignment vertical="top"/>
    </xf>
    <xf numFmtId="0" fontId="59" fillId="0" borderId="0" xfId="0" applyFont="1" applyAlignment="1">
      <alignment vertical="top" wrapText="1"/>
    </xf>
    <xf numFmtId="0" fontId="2" fillId="0" borderId="30" xfId="0" applyFont="1" applyBorder="1"/>
    <xf numFmtId="0" fontId="67" fillId="0" borderId="0" xfId="0" applyFont="1"/>
    <xf numFmtId="0" fontId="2" fillId="0" borderId="0" xfId="0" applyFont="1" applyAlignment="1">
      <alignment wrapText="1"/>
    </xf>
    <xf numFmtId="0" fontId="13" fillId="0" borderId="36" xfId="0" applyFont="1" applyBorder="1" applyAlignment="1">
      <alignment vertical="top"/>
    </xf>
    <xf numFmtId="0" fontId="13" fillId="0" borderId="38" xfId="0" applyFont="1" applyBorder="1" applyAlignment="1">
      <alignment vertical="top"/>
    </xf>
    <xf numFmtId="0" fontId="13" fillId="0" borderId="40" xfId="0" applyFont="1" applyBorder="1" applyAlignment="1">
      <alignment vertical="top"/>
    </xf>
    <xf numFmtId="0" fontId="13" fillId="0" borderId="41" xfId="0" applyFont="1" applyBorder="1" applyAlignment="1">
      <alignment vertical="top"/>
    </xf>
    <xf numFmtId="0" fontId="14" fillId="0" borderId="6" xfId="0" applyFont="1" applyBorder="1" applyAlignment="1">
      <alignment vertical="center"/>
    </xf>
    <xf numFmtId="0" fontId="31" fillId="0" borderId="37" xfId="0" applyFont="1" applyBorder="1" applyAlignment="1">
      <alignment vertical="top"/>
    </xf>
    <xf numFmtId="0" fontId="62" fillId="0" borderId="0" xfId="0" applyFont="1"/>
    <xf numFmtId="0" fontId="62" fillId="0" borderId="6" xfId="0" applyFont="1" applyBorder="1"/>
    <xf numFmtId="0" fontId="62" fillId="0" borderId="5" xfId="0" applyFont="1" applyBorder="1"/>
    <xf numFmtId="0" fontId="62" fillId="0" borderId="13" xfId="0" applyFont="1" applyBorder="1"/>
    <xf numFmtId="14" fontId="62" fillId="0" borderId="9" xfId="0" applyNumberFormat="1" applyFont="1" applyBorder="1"/>
    <xf numFmtId="0" fontId="62" fillId="0" borderId="3" xfId="0" applyFont="1" applyBorder="1"/>
    <xf numFmtId="0" fontId="62" fillId="0" borderId="4" xfId="0" applyFont="1" applyBorder="1"/>
    <xf numFmtId="14" fontId="62" fillId="0" borderId="15" xfId="0" applyNumberFormat="1" applyFont="1" applyBorder="1"/>
    <xf numFmtId="0" fontId="62" fillId="0" borderId="9" xfId="0" applyFont="1" applyBorder="1"/>
    <xf numFmtId="0" fontId="69" fillId="0" borderId="6" xfId="0" applyFont="1" applyBorder="1" applyAlignment="1">
      <alignment horizontal="left"/>
    </xf>
    <xf numFmtId="0" fontId="69" fillId="0" borderId="5" xfId="0" applyFont="1" applyBorder="1"/>
    <xf numFmtId="0" fontId="69" fillId="0" borderId="13" xfId="0" applyFont="1" applyBorder="1"/>
    <xf numFmtId="0" fontId="69" fillId="0" borderId="9" xfId="0" applyFont="1" applyBorder="1"/>
    <xf numFmtId="0" fontId="62" fillId="0" borderId="7" xfId="0" applyFont="1" applyBorder="1"/>
    <xf numFmtId="14" fontId="62" fillId="0" borderId="7" xfId="0" applyNumberFormat="1" applyFont="1" applyBorder="1"/>
    <xf numFmtId="0" fontId="68" fillId="0" borderId="7" xfId="0" applyFont="1" applyBorder="1"/>
    <xf numFmtId="10" fontId="4" fillId="0" borderId="0" xfId="3" applyNumberFormat="1" applyFont="1" applyProtection="1">
      <protection locked="0"/>
    </xf>
    <xf numFmtId="168" fontId="4" fillId="7" borderId="6" xfId="3" applyNumberFormat="1" applyFont="1" applyFill="1" applyBorder="1"/>
    <xf numFmtId="9" fontId="4" fillId="0" borderId="6" xfId="0" applyNumberFormat="1" applyFont="1" applyBorder="1"/>
    <xf numFmtId="0" fontId="4" fillId="0" borderId="13" xfId="3" applyFont="1" applyBorder="1" applyAlignment="1">
      <alignment horizontal="center"/>
    </xf>
    <xf numFmtId="0" fontId="4" fillId="0" borderId="2" xfId="3" applyFont="1" applyBorder="1" applyAlignment="1">
      <alignment horizontal="center"/>
    </xf>
    <xf numFmtId="170" fontId="5" fillId="0" borderId="0" xfId="3" applyNumberFormat="1" applyFont="1"/>
    <xf numFmtId="10" fontId="4" fillId="0" borderId="0" xfId="3" applyNumberFormat="1" applyFont="1"/>
    <xf numFmtId="2" fontId="4" fillId="0" borderId="0" xfId="3" applyNumberFormat="1" applyFont="1"/>
    <xf numFmtId="170" fontId="4" fillId="0" borderId="0" xfId="0" applyNumberFormat="1" applyFont="1"/>
    <xf numFmtId="2" fontId="4" fillId="0" borderId="0" xfId="3" applyNumberFormat="1" applyFont="1" applyAlignment="1">
      <alignment horizontal="right"/>
    </xf>
    <xf numFmtId="2" fontId="5" fillId="0" borderId="0" xfId="3" applyNumberFormat="1" applyFont="1"/>
    <xf numFmtId="9" fontId="4" fillId="0" borderId="0" xfId="0" applyNumberFormat="1" applyFont="1"/>
    <xf numFmtId="0" fontId="4" fillId="0" borderId="0" xfId="3" applyFont="1" applyAlignment="1">
      <alignment horizontal="center" vertical="center"/>
    </xf>
    <xf numFmtId="0" fontId="4" fillId="0" borderId="0" xfId="0" applyFont="1" applyAlignment="1">
      <alignment wrapText="1"/>
    </xf>
    <xf numFmtId="14" fontId="4" fillId="0" borderId="0" xfId="0" applyNumberFormat="1" applyFont="1" applyAlignment="1">
      <alignment horizontal="center" vertical="center"/>
    </xf>
    <xf numFmtId="0" fontId="31" fillId="0" borderId="0" xfId="0" applyFont="1" applyAlignment="1">
      <alignment horizontal="center"/>
    </xf>
    <xf numFmtId="0" fontId="56" fillId="0" borderId="0" xfId="0" applyFont="1" applyAlignment="1">
      <alignment vertical="center"/>
    </xf>
    <xf numFmtId="0" fontId="5" fillId="0" borderId="0" xfId="3" applyFont="1" applyAlignment="1">
      <alignment vertical="center"/>
    </xf>
    <xf numFmtId="0" fontId="4" fillId="0" borderId="0" xfId="3" applyFont="1" applyAlignment="1">
      <alignment vertical="center"/>
    </xf>
    <xf numFmtId="0" fontId="5" fillId="0" borderId="0" xfId="0" applyFont="1" applyAlignment="1">
      <alignment vertical="center"/>
    </xf>
    <xf numFmtId="165" fontId="4" fillId="0" borderId="6" xfId="3" applyNumberFormat="1" applyFont="1" applyBorder="1"/>
    <xf numFmtId="165" fontId="4" fillId="0" borderId="9" xfId="3" applyNumberFormat="1" applyFont="1" applyBorder="1"/>
    <xf numFmtId="166" fontId="4" fillId="0" borderId="6" xfId="3" applyNumberFormat="1" applyFont="1" applyBorder="1"/>
    <xf numFmtId="166" fontId="4" fillId="0" borderId="9" xfId="3" applyNumberFormat="1" applyFont="1" applyBorder="1"/>
    <xf numFmtId="0" fontId="0" fillId="0" borderId="82" xfId="0" applyBorder="1"/>
    <xf numFmtId="164" fontId="4" fillId="7" borderId="9" xfId="3" applyNumberFormat="1" applyFont="1" applyFill="1" applyBorder="1"/>
    <xf numFmtId="164" fontId="4" fillId="36" borderId="9" xfId="3" applyNumberFormat="1" applyFont="1" applyFill="1" applyBorder="1"/>
    <xf numFmtId="164" fontId="4" fillId="36" borderId="6" xfId="3" applyNumberFormat="1" applyFont="1" applyFill="1" applyBorder="1"/>
    <xf numFmtId="164" fontId="4" fillId="7" borderId="6" xfId="3" applyNumberFormat="1" applyFont="1" applyFill="1" applyBorder="1"/>
    <xf numFmtId="0" fontId="53" fillId="0" borderId="0" xfId="0" applyFont="1" applyAlignment="1">
      <alignment vertical="top"/>
    </xf>
    <xf numFmtId="0" fontId="20" fillId="0" borderId="9" xfId="0" applyFont="1" applyBorder="1" applyAlignment="1">
      <alignment horizontal="center" vertical="center"/>
    </xf>
    <xf numFmtId="168" fontId="4" fillId="2" borderId="6" xfId="3" applyNumberFormat="1" applyFont="1" applyFill="1" applyBorder="1"/>
    <xf numFmtId="168" fontId="4" fillId="2" borderId="9" xfId="3" applyNumberFormat="1" applyFont="1" applyFill="1" applyBorder="1"/>
    <xf numFmtId="0" fontId="5" fillId="0" borderId="0" xfId="0" applyFont="1" applyAlignment="1">
      <alignment horizontal="right"/>
    </xf>
    <xf numFmtId="10" fontId="0" fillId="0" borderId="0" xfId="0" applyNumberFormat="1"/>
    <xf numFmtId="10" fontId="20" fillId="0" borderId="9" xfId="0" applyNumberFormat="1" applyFont="1" applyBorder="1"/>
    <xf numFmtId="10" fontId="57" fillId="0" borderId="0" xfId="0" applyNumberFormat="1" applyFont="1"/>
    <xf numFmtId="170" fontId="5" fillId="0" borderId="9" xfId="3" applyNumberFormat="1" applyFont="1" applyBorder="1"/>
    <xf numFmtId="0" fontId="57" fillId="2" borderId="0" xfId="3" applyFont="1" applyFill="1" applyAlignment="1">
      <alignment horizontal="center"/>
    </xf>
    <xf numFmtId="0" fontId="4" fillId="2" borderId="9" xfId="3" applyFont="1" applyFill="1" applyBorder="1" applyAlignment="1">
      <alignment horizontal="left"/>
    </xf>
    <xf numFmtId="14" fontId="62" fillId="0" borderId="0" xfId="0" applyNumberFormat="1" applyFont="1"/>
    <xf numFmtId="14" fontId="20" fillId="0" borderId="9" xfId="0" applyNumberFormat="1" applyFont="1" applyBorder="1"/>
    <xf numFmtId="14" fontId="20" fillId="0" borderId="6" xfId="0" applyNumberFormat="1" applyFont="1" applyBorder="1"/>
    <xf numFmtId="170" fontId="4" fillId="0" borderId="9" xfId="3" quotePrefix="1" applyNumberFormat="1" applyFont="1" applyBorder="1"/>
    <xf numFmtId="168" fontId="20" fillId="0" borderId="9" xfId="0" applyNumberFormat="1" applyFont="1" applyBorder="1" applyAlignment="1">
      <alignment horizontal="right"/>
    </xf>
    <xf numFmtId="14" fontId="20" fillId="0" borderId="9" xfId="0" applyNumberFormat="1" applyFont="1" applyBorder="1" applyAlignment="1">
      <alignment horizontal="right"/>
    </xf>
    <xf numFmtId="14" fontId="20" fillId="0" borderId="6" xfId="0" applyNumberFormat="1" applyFont="1" applyBorder="1" applyAlignment="1">
      <alignment horizontal="right"/>
    </xf>
    <xf numFmtId="0" fontId="5" fillId="0" borderId="9" xfId="0" applyFont="1" applyBorder="1" applyAlignment="1">
      <alignment horizontal="right"/>
    </xf>
    <xf numFmtId="170" fontId="4" fillId="0" borderId="9" xfId="3" applyNumberFormat="1" applyFont="1" applyBorder="1" applyAlignment="1">
      <alignment horizontal="right"/>
    </xf>
    <xf numFmtId="0" fontId="20" fillId="0" borderId="49" xfId="0" applyFont="1" applyBorder="1" applyAlignment="1">
      <alignment horizontal="center"/>
    </xf>
    <xf numFmtId="0" fontId="20" fillId="0" borderId="19" xfId="0" applyFont="1" applyBorder="1" applyAlignment="1">
      <alignment horizontal="center"/>
    </xf>
    <xf numFmtId="14" fontId="20" fillId="0" borderId="0" xfId="0" applyNumberFormat="1" applyFont="1" applyAlignment="1">
      <alignment horizontal="right"/>
    </xf>
    <xf numFmtId="0" fontId="72" fillId="0" borderId="0" xfId="0" applyFont="1"/>
    <xf numFmtId="0" fontId="2" fillId="0" borderId="9" xfId="3" applyFont="1" applyBorder="1" applyAlignment="1">
      <alignment horizontal="center"/>
    </xf>
    <xf numFmtId="2" fontId="2" fillId="0" borderId="9" xfId="0" applyNumberFormat="1" applyFont="1" applyBorder="1" applyAlignment="1">
      <alignment horizontal="right" indent="1"/>
    </xf>
    <xf numFmtId="0" fontId="59" fillId="0" borderId="14" xfId="3" applyFont="1" applyBorder="1" applyAlignment="1">
      <alignment horizontal="center"/>
    </xf>
    <xf numFmtId="168" fontId="59" fillId="0" borderId="16" xfId="0" applyNumberFormat="1" applyFont="1" applyBorder="1" applyAlignment="1">
      <alignment horizontal="right"/>
    </xf>
    <xf numFmtId="2" fontId="59" fillId="0" borderId="16" xfId="0" applyNumberFormat="1" applyFont="1" applyBorder="1" applyAlignment="1">
      <alignment horizontal="right"/>
    </xf>
    <xf numFmtId="2" fontId="59" fillId="0" borderId="9" xfId="0" applyNumberFormat="1" applyFont="1" applyBorder="1" applyAlignment="1">
      <alignment horizontal="right"/>
    </xf>
    <xf numFmtId="0" fontId="74" fillId="0" borderId="81" xfId="0" applyFont="1" applyBorder="1" applyAlignment="1">
      <alignment horizontal="left"/>
    </xf>
    <xf numFmtId="0" fontId="74" fillId="0" borderId="38" xfId="0" applyFont="1" applyBorder="1" applyAlignment="1">
      <alignment wrapText="1"/>
    </xf>
    <xf numFmtId="0" fontId="62" fillId="0" borderId="0" xfId="0" applyFont="1" applyAlignment="1">
      <alignment horizontal="center"/>
    </xf>
    <xf numFmtId="168" fontId="62" fillId="0" borderId="0" xfId="0" applyNumberFormat="1" applyFont="1"/>
    <xf numFmtId="0" fontId="14" fillId="38" borderId="0" xfId="0" applyFont="1" applyFill="1"/>
    <xf numFmtId="0" fontId="13" fillId="38" borderId="0" xfId="0" applyFont="1" applyFill="1"/>
    <xf numFmtId="0" fontId="14" fillId="39" borderId="0" xfId="0" applyFont="1" applyFill="1"/>
    <xf numFmtId="0" fontId="13" fillId="39" borderId="0" xfId="0" applyFont="1" applyFill="1"/>
    <xf numFmtId="0" fontId="14" fillId="40" borderId="0" xfId="0" applyFont="1" applyFill="1"/>
    <xf numFmtId="0" fontId="13" fillId="40" borderId="0" xfId="0" applyFont="1" applyFill="1"/>
    <xf numFmtId="0" fontId="14" fillId="41" borderId="0" xfId="0" applyFont="1" applyFill="1"/>
    <xf numFmtId="0" fontId="13" fillId="41" borderId="0" xfId="0" applyFont="1" applyFill="1"/>
    <xf numFmtId="164" fontId="57" fillId="0" borderId="0" xfId="3" applyNumberFormat="1" applyFont="1"/>
    <xf numFmtId="0" fontId="55" fillId="0" borderId="0" xfId="0" applyFont="1" applyAlignment="1">
      <alignment horizontal="center" vertical="center" wrapText="1"/>
    </xf>
    <xf numFmtId="0" fontId="63" fillId="0" borderId="0" xfId="0" applyFont="1"/>
    <xf numFmtId="0" fontId="75" fillId="0" borderId="0" xfId="0" applyFont="1"/>
    <xf numFmtId="0" fontId="2" fillId="0" borderId="6" xfId="0" applyFont="1" applyBorder="1"/>
    <xf numFmtId="0" fontId="2" fillId="0" borderId="5" xfId="0" applyFont="1" applyBorder="1"/>
    <xf numFmtId="49" fontId="4" fillId="0" borderId="6" xfId="3" quotePrefix="1" applyNumberFormat="1" applyFont="1" applyBorder="1"/>
    <xf numFmtId="0" fontId="13" fillId="0" borderId="9" xfId="0" applyFont="1" applyBorder="1" applyAlignment="1">
      <alignment vertical="top"/>
    </xf>
    <xf numFmtId="167" fontId="3" fillId="0" borderId="9" xfId="0" applyNumberFormat="1" applyFont="1" applyBorder="1" applyProtection="1">
      <protection locked="0"/>
    </xf>
    <xf numFmtId="0" fontId="22" fillId="3" borderId="9" xfId="0" applyFont="1" applyFill="1" applyBorder="1" applyAlignment="1" applyProtection="1">
      <alignment horizontal="right"/>
      <protection locked="0"/>
    </xf>
    <xf numFmtId="1" fontId="4" fillId="2" borderId="17" xfId="3" applyNumberFormat="1" applyFont="1" applyFill="1" applyBorder="1" applyAlignment="1">
      <alignment horizontal="center"/>
    </xf>
    <xf numFmtId="1" fontId="4" fillId="2" borderId="16" xfId="3" applyNumberFormat="1" applyFont="1" applyFill="1" applyBorder="1" applyAlignment="1">
      <alignment horizontal="center"/>
    </xf>
    <xf numFmtId="1" fontId="4" fillId="2" borderId="9" xfId="3" applyNumberFormat="1" applyFont="1" applyFill="1" applyBorder="1" applyAlignment="1">
      <alignment horizontal="center"/>
    </xf>
    <xf numFmtId="1" fontId="4" fillId="2" borderId="8" xfId="3" applyNumberFormat="1" applyFont="1" applyFill="1" applyBorder="1" applyAlignment="1">
      <alignment horizontal="center"/>
    </xf>
    <xf numFmtId="171" fontId="5" fillId="2" borderId="9" xfId="3" applyNumberFormat="1" applyFont="1" applyFill="1" applyBorder="1"/>
    <xf numFmtId="0" fontId="13" fillId="0" borderId="5" xfId="0" applyFont="1" applyBorder="1" applyAlignment="1">
      <alignment horizontal="left" wrapText="1"/>
    </xf>
    <xf numFmtId="0" fontId="13" fillId="0" borderId="13" xfId="0" applyFont="1" applyBorder="1" applyAlignment="1">
      <alignment horizontal="left" wrapText="1"/>
    </xf>
    <xf numFmtId="0" fontId="13" fillId="0" borderId="6" xfId="0" applyFont="1" applyBorder="1" applyAlignment="1">
      <alignment horizontal="left"/>
    </xf>
    <xf numFmtId="0" fontId="8" fillId="42" borderId="6" xfId="0" applyFont="1" applyFill="1" applyBorder="1"/>
    <xf numFmtId="0" fontId="8" fillId="42" borderId="5" xfId="0" applyFont="1" applyFill="1" applyBorder="1"/>
    <xf numFmtId="0" fontId="8" fillId="42" borderId="13" xfId="0" applyFont="1" applyFill="1" applyBorder="1"/>
    <xf numFmtId="0" fontId="8" fillId="43" borderId="6" xfId="0" applyFont="1" applyFill="1" applyBorder="1"/>
    <xf numFmtId="0" fontId="8" fillId="43" borderId="5" xfId="0" applyFont="1" applyFill="1" applyBorder="1"/>
    <xf numFmtId="0" fontId="8" fillId="43" borderId="13" xfId="0" applyFont="1" applyFill="1" applyBorder="1"/>
    <xf numFmtId="164" fontId="3" fillId="44" borderId="6" xfId="3" applyNumberFormat="1" applyFill="1" applyBorder="1"/>
    <xf numFmtId="164" fontId="3" fillId="44" borderId="5" xfId="3" applyNumberFormat="1" applyFill="1" applyBorder="1"/>
    <xf numFmtId="164" fontId="3" fillId="44" borderId="13" xfId="3" applyNumberFormat="1" applyFill="1" applyBorder="1"/>
    <xf numFmtId="170" fontId="4" fillId="0" borderId="73" xfId="3" applyNumberFormat="1" applyFont="1" applyBorder="1"/>
    <xf numFmtId="0" fontId="20" fillId="0" borderId="22" xfId="0" applyFont="1" applyBorder="1" applyAlignment="1">
      <alignment horizontal="center"/>
    </xf>
    <xf numFmtId="0" fontId="4" fillId="2" borderId="5" xfId="3" applyFont="1" applyFill="1" applyBorder="1" applyAlignment="1">
      <alignment horizontal="left"/>
    </xf>
    <xf numFmtId="0" fontId="4" fillId="2" borderId="77" xfId="3" applyFont="1" applyFill="1" applyBorder="1" applyAlignment="1">
      <alignment horizontal="center"/>
    </xf>
    <xf numFmtId="170" fontId="4" fillId="0" borderId="49" xfId="3" applyNumberFormat="1" applyFont="1" applyBorder="1" applyAlignment="1">
      <alignment horizontal="right"/>
    </xf>
    <xf numFmtId="170" fontId="4" fillId="0" borderId="19" xfId="3" applyNumberFormat="1" applyFont="1" applyBorder="1" applyAlignment="1">
      <alignment horizontal="right"/>
    </xf>
    <xf numFmtId="0" fontId="53" fillId="0" borderId="9" xfId="0" applyFont="1" applyBorder="1" applyAlignment="1">
      <alignment horizontal="left"/>
    </xf>
    <xf numFmtId="0" fontId="20" fillId="0" borderId="9" xfId="0" applyFont="1" applyBorder="1" applyAlignment="1">
      <alignment horizontal="left"/>
    </xf>
    <xf numFmtId="0" fontId="20" fillId="0" borderId="9" xfId="0" applyFont="1" applyBorder="1" applyAlignment="1">
      <alignment horizontal="left" indent="1"/>
    </xf>
    <xf numFmtId="170" fontId="4" fillId="0" borderId="56" xfId="3" applyNumberFormat="1" applyFont="1" applyBorder="1"/>
    <xf numFmtId="170" fontId="4" fillId="0" borderId="21" xfId="3" applyNumberFormat="1" applyFont="1" applyBorder="1"/>
    <xf numFmtId="170" fontId="4" fillId="0" borderId="52" xfId="3" applyNumberFormat="1" applyFont="1" applyBorder="1" applyAlignment="1">
      <alignment horizontal="right"/>
    </xf>
    <xf numFmtId="170" fontId="4" fillId="0" borderId="24" xfId="3" applyNumberFormat="1" applyFont="1" applyBorder="1" applyAlignment="1">
      <alignment horizontal="right"/>
    </xf>
    <xf numFmtId="170" fontId="4" fillId="0" borderId="18" xfId="3" applyNumberFormat="1" applyFont="1" applyBorder="1"/>
    <xf numFmtId="170" fontId="4" fillId="0" borderId="86" xfId="3" applyNumberFormat="1" applyFont="1" applyBorder="1" applyAlignment="1">
      <alignment horizontal="right"/>
    </xf>
    <xf numFmtId="0" fontId="4" fillId="0" borderId="2" xfId="3" applyFont="1" applyBorder="1" applyAlignment="1" applyProtection="1">
      <alignment vertical="top"/>
      <protection locked="0"/>
    </xf>
    <xf numFmtId="2" fontId="4" fillId="0" borderId="9" xfId="0" applyNumberFormat="1" applyFont="1" applyBorder="1" applyAlignment="1">
      <alignment horizontal="right"/>
    </xf>
    <xf numFmtId="0" fontId="4" fillId="2" borderId="8" xfId="3" applyFont="1" applyFill="1" applyBorder="1"/>
    <xf numFmtId="49" fontId="4" fillId="2" borderId="8" xfId="3" applyNumberFormat="1" applyFont="1" applyFill="1" applyBorder="1"/>
    <xf numFmtId="2" fontId="4" fillId="0" borderId="0" xfId="0" applyNumberFormat="1" applyFont="1" applyAlignment="1">
      <alignment horizontal="right"/>
    </xf>
    <xf numFmtId="170" fontId="4" fillId="0" borderId="0" xfId="3" applyNumberFormat="1" applyFont="1" applyAlignment="1">
      <alignment horizontal="right"/>
    </xf>
    <xf numFmtId="0" fontId="4" fillId="0" borderId="0" xfId="0" applyFont="1"/>
    <xf numFmtId="0" fontId="4" fillId="0" borderId="0" xfId="0" applyFont="1" applyAlignment="1">
      <alignment horizontal="center" vertical="center"/>
    </xf>
    <xf numFmtId="10" fontId="4" fillId="0" borderId="0" xfId="0" applyNumberFormat="1" applyFont="1"/>
    <xf numFmtId="0" fontId="5" fillId="0" borderId="0" xfId="0" applyFont="1" applyAlignment="1">
      <alignment vertical="top"/>
    </xf>
    <xf numFmtId="0" fontId="71" fillId="0" borderId="9" xfId="3" applyFont="1" applyBorder="1" applyAlignment="1" applyProtection="1">
      <alignment horizontal="center"/>
      <protection locked="0"/>
    </xf>
    <xf numFmtId="0" fontId="20" fillId="0" borderId="0" xfId="0" applyFont="1" applyAlignment="1">
      <alignment horizontal="left" indent="1"/>
    </xf>
    <xf numFmtId="0" fontId="53" fillId="0" borderId="0" xfId="0" applyFont="1" applyAlignment="1">
      <alignment horizontal="left"/>
    </xf>
    <xf numFmtId="49" fontId="5" fillId="2" borderId="1" xfId="3" applyNumberFormat="1" applyFont="1" applyFill="1" applyBorder="1"/>
    <xf numFmtId="49" fontId="5" fillId="2" borderId="14" xfId="3" applyNumberFormat="1" applyFont="1" applyFill="1" applyBorder="1"/>
    <xf numFmtId="0" fontId="20" fillId="0" borderId="16" xfId="0" applyFont="1" applyBorder="1" applyAlignment="1">
      <alignment horizontal="left"/>
    </xf>
    <xf numFmtId="0" fontId="20" fillId="0" borderId="8" xfId="0" applyFont="1" applyBorder="1" applyAlignment="1">
      <alignment horizontal="left" indent="1"/>
    </xf>
    <xf numFmtId="14" fontId="8" fillId="0" borderId="0" xfId="0" applyNumberFormat="1" applyFont="1" applyAlignment="1" applyProtection="1">
      <alignment horizontal="right" indent="2"/>
      <protection locked="0"/>
    </xf>
    <xf numFmtId="164" fontId="10" fillId="0" borderId="6" xfId="3" applyNumberFormat="1" applyFont="1" applyBorder="1"/>
    <xf numFmtId="164" fontId="10" fillId="0" borderId="5" xfId="3" applyNumberFormat="1" applyFont="1" applyBorder="1"/>
    <xf numFmtId="164" fontId="10" fillId="0" borderId="2" xfId="3" applyNumberFormat="1" applyFont="1" applyBorder="1"/>
    <xf numFmtId="0" fontId="71" fillId="0" borderId="0" xfId="3" applyFont="1" applyAlignment="1" applyProtection="1">
      <alignment horizontal="center"/>
      <protection locked="0"/>
    </xf>
    <xf numFmtId="0" fontId="20" fillId="0" borderId="0" xfId="0" applyFont="1" applyAlignment="1">
      <alignment horizontal="center"/>
    </xf>
    <xf numFmtId="0" fontId="4" fillId="0" borderId="9" xfId="3" applyFont="1" applyBorder="1" applyProtection="1">
      <protection locked="0"/>
    </xf>
    <xf numFmtId="0" fontId="0" fillId="0" borderId="9" xfId="0" applyBorder="1"/>
    <xf numFmtId="0" fontId="71" fillId="0" borderId="5" xfId="3" applyFont="1" applyBorder="1" applyProtection="1">
      <protection locked="0"/>
    </xf>
    <xf numFmtId="0" fontId="71" fillId="0" borderId="13" xfId="3" applyFont="1" applyBorder="1" applyProtection="1">
      <protection locked="0"/>
    </xf>
    <xf numFmtId="49" fontId="2" fillId="2" borderId="9" xfId="5" applyNumberFormat="1" applyFill="1" applyBorder="1" applyAlignment="1">
      <alignment horizontal="right"/>
    </xf>
    <xf numFmtId="10" fontId="4" fillId="0" borderId="72" xfId="3" applyNumberFormat="1" applyFont="1" applyBorder="1"/>
    <xf numFmtId="10" fontId="4" fillId="0" borderId="75" xfId="3" applyNumberFormat="1" applyFont="1" applyBorder="1"/>
    <xf numFmtId="10" fontId="4" fillId="0" borderId="19" xfId="3" applyNumberFormat="1" applyFont="1" applyBorder="1"/>
    <xf numFmtId="10" fontId="4" fillId="0" borderId="13" xfId="3" applyNumberFormat="1" applyFont="1" applyBorder="1"/>
    <xf numFmtId="10" fontId="4" fillId="0" borderId="6" xfId="3" applyNumberFormat="1" applyFont="1" applyBorder="1"/>
    <xf numFmtId="9" fontId="10" fillId="4" borderId="9" xfId="0" applyNumberFormat="1" applyFont="1" applyFill="1" applyBorder="1" applyProtection="1">
      <protection locked="0"/>
    </xf>
    <xf numFmtId="164" fontId="4" fillId="36" borderId="6" xfId="3" applyNumberFormat="1" applyFont="1" applyFill="1" applyBorder="1" applyProtection="1">
      <protection locked="0"/>
    </xf>
    <xf numFmtId="164" fontId="4" fillId="36" borderId="9" xfId="3" applyNumberFormat="1" applyFont="1" applyFill="1" applyBorder="1" applyProtection="1">
      <protection locked="0"/>
    </xf>
    <xf numFmtId="165" fontId="10" fillId="4" borderId="6" xfId="3" applyNumberFormat="1" applyFont="1" applyFill="1" applyBorder="1" applyProtection="1">
      <protection locked="0"/>
    </xf>
    <xf numFmtId="166" fontId="10" fillId="4" borderId="9" xfId="3" applyNumberFormat="1" applyFont="1" applyFill="1" applyBorder="1" applyProtection="1">
      <protection locked="0"/>
    </xf>
    <xf numFmtId="165" fontId="10" fillId="4" borderId="9" xfId="3" applyNumberFormat="1" applyFont="1" applyFill="1" applyBorder="1" applyProtection="1">
      <protection locked="0"/>
    </xf>
    <xf numFmtId="164" fontId="4" fillId="36" borderId="16" xfId="3" applyNumberFormat="1" applyFont="1" applyFill="1" applyBorder="1" applyProtection="1">
      <protection locked="0"/>
    </xf>
    <xf numFmtId="164" fontId="10" fillId="4" borderId="6" xfId="3" applyNumberFormat="1" applyFont="1" applyFill="1" applyBorder="1" applyProtection="1">
      <protection locked="0"/>
    </xf>
    <xf numFmtId="164" fontId="10" fillId="4" borderId="1" xfId="3" applyNumberFormat="1" applyFont="1" applyFill="1" applyBorder="1" applyProtection="1">
      <protection locked="0"/>
    </xf>
    <xf numFmtId="164" fontId="10" fillId="4" borderId="9" xfId="3" applyNumberFormat="1" applyFont="1" applyFill="1" applyBorder="1" applyProtection="1">
      <protection locked="0"/>
    </xf>
    <xf numFmtId="164" fontId="10" fillId="4" borderId="3" xfId="3" applyNumberFormat="1" applyFont="1" applyFill="1" applyBorder="1" applyProtection="1">
      <protection locked="0"/>
    </xf>
    <xf numFmtId="166" fontId="10" fillId="4" borderId="6" xfId="3" applyNumberFormat="1" applyFont="1" applyFill="1" applyBorder="1" applyProtection="1">
      <protection locked="0"/>
    </xf>
    <xf numFmtId="170" fontId="4" fillId="5" borderId="6" xfId="3" applyNumberFormat="1" applyFont="1" applyFill="1" applyBorder="1" applyProtection="1">
      <protection locked="0"/>
    </xf>
    <xf numFmtId="170" fontId="10" fillId="10" borderId="6" xfId="3" applyNumberFormat="1" applyFont="1" applyFill="1" applyBorder="1" applyProtection="1">
      <protection locked="0"/>
    </xf>
    <xf numFmtId="170" fontId="4" fillId="5" borderId="1" xfId="3" applyNumberFormat="1" applyFont="1" applyFill="1" applyBorder="1" applyProtection="1">
      <protection locked="0"/>
    </xf>
    <xf numFmtId="170" fontId="10" fillId="10" borderId="1" xfId="3" applyNumberFormat="1" applyFont="1" applyFill="1" applyBorder="1" applyProtection="1">
      <protection locked="0"/>
    </xf>
    <xf numFmtId="170" fontId="10" fillId="10" borderId="16" xfId="3" applyNumberFormat="1" applyFont="1" applyFill="1" applyBorder="1" applyProtection="1">
      <protection locked="0"/>
    </xf>
    <xf numFmtId="171" fontId="10" fillId="4" borderId="44" xfId="3" applyNumberFormat="1" applyFont="1" applyFill="1" applyBorder="1" applyAlignment="1" applyProtection="1">
      <alignment horizontal="right"/>
      <protection locked="0"/>
    </xf>
    <xf numFmtId="171" fontId="10" fillId="4" borderId="45" xfId="3" applyNumberFormat="1" applyFont="1" applyFill="1" applyBorder="1" applyAlignment="1" applyProtection="1">
      <alignment horizontal="right"/>
      <protection locked="0"/>
    </xf>
    <xf numFmtId="170" fontId="4" fillId="7" borderId="9" xfId="3" applyNumberFormat="1" applyFont="1" applyFill="1" applyBorder="1" applyProtection="1">
      <protection locked="0"/>
    </xf>
    <xf numFmtId="170" fontId="10" fillId="3" borderId="9" xfId="3" applyNumberFormat="1" applyFont="1" applyFill="1" applyBorder="1" applyProtection="1">
      <protection locked="0"/>
    </xf>
    <xf numFmtId="170" fontId="10" fillId="3" borderId="6" xfId="3" applyNumberFormat="1" applyFont="1" applyFill="1" applyBorder="1" applyProtection="1">
      <protection locked="0"/>
    </xf>
    <xf numFmtId="170" fontId="4" fillId="5" borderId="27" xfId="3" applyNumberFormat="1" applyFont="1" applyFill="1" applyBorder="1" applyProtection="1">
      <protection locked="0"/>
    </xf>
    <xf numFmtId="170" fontId="10" fillId="4" borderId="43" xfId="3" applyNumberFormat="1" applyFont="1" applyFill="1" applyBorder="1" applyProtection="1">
      <protection locked="0"/>
    </xf>
    <xf numFmtId="170" fontId="4" fillId="5" borderId="43" xfId="3" applyNumberFormat="1" applyFont="1" applyFill="1" applyBorder="1" applyProtection="1">
      <protection locked="0"/>
    </xf>
    <xf numFmtId="170" fontId="10" fillId="4" borderId="44" xfId="3" applyNumberFormat="1" applyFont="1" applyFill="1" applyBorder="1" applyProtection="1">
      <protection locked="0"/>
    </xf>
    <xf numFmtId="170" fontId="4" fillId="5" borderId="3" xfId="3" applyNumberFormat="1" applyFont="1" applyFill="1" applyBorder="1" applyProtection="1">
      <protection locked="0"/>
    </xf>
    <xf numFmtId="170" fontId="10" fillId="4" borderId="3" xfId="3" applyNumberFormat="1" applyFont="1" applyFill="1" applyBorder="1" applyProtection="1">
      <protection locked="0"/>
    </xf>
    <xf numFmtId="170" fontId="10" fillId="4" borderId="8" xfId="3" applyNumberFormat="1" applyFont="1" applyFill="1" applyBorder="1" applyProtection="1">
      <protection locked="0"/>
    </xf>
    <xf numFmtId="170" fontId="10" fillId="4" borderId="1" xfId="3" applyNumberFormat="1" applyFont="1" applyFill="1" applyBorder="1" applyProtection="1">
      <protection locked="0"/>
    </xf>
    <xf numFmtId="170" fontId="10" fillId="4" borderId="16" xfId="3" applyNumberFormat="1" applyFont="1" applyFill="1" applyBorder="1" applyProtection="1">
      <protection locked="0"/>
    </xf>
    <xf numFmtId="170" fontId="4" fillId="5" borderId="9" xfId="3" applyNumberFormat="1" applyFont="1" applyFill="1" applyBorder="1" applyProtection="1">
      <protection locked="0"/>
    </xf>
    <xf numFmtId="170" fontId="4" fillId="5" borderId="78" xfId="3" applyNumberFormat="1" applyFont="1" applyFill="1" applyBorder="1" applyProtection="1">
      <protection locked="0"/>
    </xf>
    <xf numFmtId="9" fontId="10" fillId="3" borderId="9" xfId="3" applyNumberFormat="1" applyFont="1" applyFill="1" applyBorder="1" applyProtection="1">
      <protection locked="0"/>
    </xf>
    <xf numFmtId="0" fontId="20" fillId="0" borderId="52" xfId="0" applyFont="1" applyBorder="1" applyAlignment="1" applyProtection="1">
      <alignment wrapText="1"/>
      <protection locked="0"/>
    </xf>
    <xf numFmtId="14" fontId="10" fillId="4" borderId="24" xfId="0" applyNumberFormat="1" applyFont="1" applyFill="1" applyBorder="1" applyAlignment="1" applyProtection="1">
      <alignment horizontal="center" vertical="center"/>
      <protection locked="0"/>
    </xf>
    <xf numFmtId="170" fontId="10" fillId="4" borderId="22" xfId="3" applyNumberFormat="1" applyFont="1" applyFill="1" applyBorder="1" applyProtection="1">
      <protection locked="0"/>
    </xf>
    <xf numFmtId="170" fontId="10" fillId="4" borderId="19" xfId="3" applyNumberFormat="1" applyFont="1" applyFill="1" applyBorder="1" applyProtection="1">
      <protection locked="0"/>
    </xf>
    <xf numFmtId="170" fontId="10" fillId="4" borderId="24" xfId="3" applyNumberFormat="1" applyFont="1" applyFill="1" applyBorder="1" applyProtection="1">
      <protection locked="0"/>
    </xf>
    <xf numFmtId="170" fontId="10" fillId="4" borderId="23" xfId="3" applyNumberFormat="1" applyFont="1" applyFill="1" applyBorder="1" applyProtection="1">
      <protection locked="0"/>
    </xf>
    <xf numFmtId="10" fontId="10" fillId="4" borderId="51" xfId="3" quotePrefix="1" applyNumberFormat="1" applyFont="1" applyFill="1" applyBorder="1" applyProtection="1">
      <protection locked="0"/>
    </xf>
    <xf numFmtId="10" fontId="10" fillId="4" borderId="19" xfId="3" quotePrefix="1" applyNumberFormat="1" applyFont="1" applyFill="1" applyBorder="1" applyProtection="1">
      <protection locked="0"/>
    </xf>
    <xf numFmtId="49" fontId="4" fillId="2" borderId="6" xfId="3" quotePrefix="1" applyNumberFormat="1" applyFont="1" applyFill="1" applyBorder="1"/>
    <xf numFmtId="49" fontId="4" fillId="2" borderId="13" xfId="3" applyNumberFormat="1" applyFont="1" applyFill="1" applyBorder="1"/>
    <xf numFmtId="0" fontId="2" fillId="0" borderId="0" xfId="1"/>
    <xf numFmtId="0" fontId="27" fillId="0" borderId="0" xfId="3" applyFont="1"/>
    <xf numFmtId="0" fontId="4" fillId="0" borderId="82" xfId="3" applyFont="1" applyBorder="1"/>
    <xf numFmtId="0" fontId="20" fillId="0" borderId="9" xfId="0" applyFont="1" applyBorder="1"/>
    <xf numFmtId="0" fontId="78" fillId="48" borderId="9" xfId="0" applyFont="1" applyFill="1" applyBorder="1" applyAlignment="1" applyProtection="1">
      <alignment horizontal="center" vertical="center" wrapText="1"/>
      <protection locked="0"/>
    </xf>
    <xf numFmtId="0" fontId="78" fillId="48" borderId="19" xfId="0" applyFont="1" applyFill="1" applyBorder="1" applyAlignment="1" applyProtection="1">
      <alignment horizontal="center" vertical="center" wrapText="1"/>
      <protection locked="0"/>
    </xf>
    <xf numFmtId="0" fontId="78" fillId="48" borderId="9" xfId="0" applyFont="1" applyFill="1" applyBorder="1" applyAlignment="1">
      <alignment horizontal="center" vertical="center" wrapText="1"/>
    </xf>
    <xf numFmtId="0" fontId="78" fillId="48" borderId="19" xfId="0" applyFont="1" applyFill="1" applyBorder="1" applyAlignment="1">
      <alignment horizontal="center" vertical="center" wrapText="1"/>
    </xf>
    <xf numFmtId="0" fontId="77" fillId="48" borderId="50" xfId="0" applyFont="1" applyFill="1" applyBorder="1" applyAlignment="1">
      <alignment horizontal="center" vertical="center" wrapText="1"/>
    </xf>
    <xf numFmtId="0" fontId="77" fillId="48" borderId="16" xfId="0" applyFont="1" applyFill="1" applyBorder="1" applyAlignment="1">
      <alignment horizontal="center" vertical="center" wrapText="1"/>
    </xf>
    <xf numFmtId="0" fontId="77" fillId="48" borderId="51" xfId="0" applyFont="1" applyFill="1" applyBorder="1" applyAlignment="1">
      <alignment horizontal="center" vertical="center" wrapText="1"/>
    </xf>
    <xf numFmtId="0" fontId="77" fillId="48" borderId="56" xfId="0" applyFont="1" applyFill="1" applyBorder="1" applyAlignment="1">
      <alignment horizontal="left" vertical="center" wrapText="1"/>
    </xf>
    <xf numFmtId="0" fontId="77" fillId="48" borderId="90" xfId="0" applyFont="1" applyFill="1" applyBorder="1" applyAlignment="1">
      <alignment vertical="center" wrapText="1"/>
    </xf>
    <xf numFmtId="0" fontId="77" fillId="48" borderId="46" xfId="0" applyFont="1" applyFill="1" applyBorder="1" applyAlignment="1">
      <alignment horizontal="center" vertical="center" wrapText="1"/>
    </xf>
    <xf numFmtId="172" fontId="77" fillId="49" borderId="56" xfId="0" applyNumberFormat="1" applyFont="1" applyFill="1" applyBorder="1" applyAlignment="1" applyProtection="1">
      <alignment horizontal="right" vertical="center" wrapText="1" indent="2"/>
      <protection locked="0"/>
    </xf>
    <xf numFmtId="172" fontId="77" fillId="49" borderId="21" xfId="0" applyNumberFormat="1" applyFont="1" applyFill="1" applyBorder="1" applyAlignment="1" applyProtection="1">
      <alignment horizontal="right" vertical="center" wrapText="1" indent="2"/>
      <protection locked="0"/>
    </xf>
    <xf numFmtId="0" fontId="77" fillId="48" borderId="49" xfId="0" applyFont="1" applyFill="1" applyBorder="1" applyAlignment="1">
      <alignment horizontal="left" vertical="center" wrapText="1"/>
    </xf>
    <xf numFmtId="0" fontId="77" fillId="48" borderId="9" xfId="0" applyFont="1" applyFill="1" applyBorder="1" applyAlignment="1">
      <alignment vertical="center" wrapText="1"/>
    </xf>
    <xf numFmtId="0" fontId="77" fillId="48" borderId="6" xfId="0" applyFont="1" applyFill="1" applyBorder="1" applyAlignment="1">
      <alignment horizontal="center" vertical="center" wrapText="1"/>
    </xf>
    <xf numFmtId="4" fontId="77" fillId="48" borderId="49" xfId="0" applyNumberFormat="1" applyFont="1" applyFill="1" applyBorder="1" applyAlignment="1">
      <alignment horizontal="right" vertical="center" wrapText="1" indent="2"/>
    </xf>
    <xf numFmtId="4" fontId="77" fillId="48" borderId="19" xfId="0" applyNumberFormat="1" applyFont="1" applyFill="1" applyBorder="1" applyAlignment="1">
      <alignment horizontal="right" vertical="center" wrapText="1" indent="2"/>
    </xf>
    <xf numFmtId="172" fontId="77" fillId="48" borderId="49" xfId="0" applyNumberFormat="1" applyFont="1" applyFill="1" applyBorder="1" applyAlignment="1">
      <alignment horizontal="right" vertical="center" wrapText="1" indent="2"/>
    </xf>
    <xf numFmtId="172" fontId="77" fillId="48" borderId="19" xfId="0" applyNumberFormat="1" applyFont="1" applyFill="1" applyBorder="1" applyAlignment="1">
      <alignment horizontal="right" vertical="center" wrapText="1" indent="2"/>
    </xf>
    <xf numFmtId="0" fontId="77" fillId="48" borderId="9" xfId="0" applyFont="1" applyFill="1" applyBorder="1" applyAlignment="1">
      <alignment horizontal="left" vertical="center" wrapText="1"/>
    </xf>
    <xf numFmtId="0" fontId="81" fillId="48" borderId="52" xfId="0" applyFont="1" applyFill="1" applyBorder="1" applyAlignment="1">
      <alignment vertical="center" wrapText="1"/>
    </xf>
    <xf numFmtId="0" fontId="81" fillId="49" borderId="52" xfId="0" applyFont="1" applyFill="1" applyBorder="1" applyAlignment="1" applyProtection="1">
      <alignment horizontal="center" vertical="center" wrapText="1"/>
      <protection locked="0"/>
    </xf>
    <xf numFmtId="0" fontId="81" fillId="49" borderId="24" xfId="0" applyFont="1" applyFill="1" applyBorder="1" applyAlignment="1" applyProtection="1">
      <alignment horizontal="center" vertical="center" wrapText="1"/>
      <protection locked="0"/>
    </xf>
    <xf numFmtId="0" fontId="4" fillId="0" borderId="3" xfId="3" applyFont="1" applyBorder="1" applyAlignment="1">
      <alignment horizontal="center"/>
    </xf>
    <xf numFmtId="0" fontId="5" fillId="0" borderId="3" xfId="3" applyFont="1" applyBorder="1" applyAlignment="1">
      <alignment horizontal="center" vertical="center" wrapText="1"/>
    </xf>
    <xf numFmtId="49" fontId="4" fillId="2" borderId="1" xfId="3" applyNumberFormat="1" applyFont="1" applyFill="1" applyBorder="1"/>
    <xf numFmtId="2" fontId="4" fillId="2" borderId="1" xfId="3" applyNumberFormat="1" applyFont="1" applyFill="1" applyBorder="1"/>
    <xf numFmtId="2" fontId="4" fillId="2" borderId="16" xfId="3" applyNumberFormat="1" applyFont="1" applyFill="1" applyBorder="1"/>
    <xf numFmtId="0" fontId="4" fillId="2" borderId="9" xfId="3" quotePrefix="1" applyFont="1" applyFill="1" applyBorder="1"/>
    <xf numFmtId="49" fontId="4" fillId="2" borderId="9" xfId="3" quotePrefix="1" applyNumberFormat="1" applyFont="1" applyFill="1" applyBorder="1"/>
    <xf numFmtId="16" fontId="4" fillId="2" borderId="6" xfId="3" applyNumberFormat="1" applyFont="1" applyFill="1" applyBorder="1" applyAlignment="1">
      <alignment horizontal="center"/>
    </xf>
    <xf numFmtId="0" fontId="4" fillId="2" borderId="1" xfId="3" applyFont="1" applyFill="1" applyBorder="1" applyAlignment="1">
      <alignment wrapText="1"/>
    </xf>
    <xf numFmtId="49" fontId="4" fillId="2" borderId="6" xfId="3" applyNumberFormat="1" applyFont="1" applyFill="1" applyBorder="1" applyAlignment="1">
      <alignment wrapText="1"/>
    </xf>
    <xf numFmtId="49" fontId="4" fillId="2" borderId="6" xfId="3" quotePrefix="1" applyNumberFormat="1" applyFont="1" applyFill="1" applyBorder="1" applyAlignment="1">
      <alignment wrapText="1"/>
    </xf>
    <xf numFmtId="0" fontId="5" fillId="2" borderId="1" xfId="3" applyFont="1" applyFill="1" applyBorder="1"/>
    <xf numFmtId="0" fontId="5" fillId="2" borderId="1" xfId="3" applyFont="1" applyFill="1" applyBorder="1" applyAlignment="1">
      <alignment horizontal="center"/>
    </xf>
    <xf numFmtId="49" fontId="5" fillId="2" borderId="3" xfId="3" applyNumberFormat="1" applyFont="1" applyFill="1" applyBorder="1"/>
    <xf numFmtId="0" fontId="5" fillId="2" borderId="3" xfId="3" applyFont="1" applyFill="1" applyBorder="1"/>
    <xf numFmtId="0" fontId="5" fillId="2" borderId="3" xfId="3" applyFont="1" applyFill="1" applyBorder="1" applyAlignment="1">
      <alignment horizontal="center"/>
    </xf>
    <xf numFmtId="0" fontId="4" fillId="2" borderId="6" xfId="3" applyFont="1" applyFill="1" applyBorder="1" applyAlignment="1">
      <alignment wrapText="1"/>
    </xf>
    <xf numFmtId="0" fontId="4" fillId="2" borderId="6" xfId="3" quotePrefix="1" applyFont="1" applyFill="1" applyBorder="1" applyAlignment="1">
      <alignment wrapText="1"/>
    </xf>
    <xf numFmtId="0" fontId="5" fillId="0" borderId="58" xfId="3" applyFont="1" applyBorder="1" applyAlignment="1">
      <alignment horizontal="center" vertical="center" wrapText="1"/>
    </xf>
    <xf numFmtId="0" fontId="4" fillId="0" borderId="6" xfId="3" quotePrefix="1" applyFont="1" applyBorder="1" applyAlignment="1">
      <alignment wrapText="1"/>
    </xf>
    <xf numFmtId="0" fontId="20" fillId="0" borderId="9" xfId="0" applyFont="1" applyBorder="1" applyAlignment="1">
      <alignment wrapText="1"/>
    </xf>
    <xf numFmtId="0" fontId="20" fillId="50" borderId="9" xfId="0" applyFont="1" applyFill="1" applyBorder="1"/>
    <xf numFmtId="0" fontId="20" fillId="50" borderId="9" xfId="0" applyFont="1" applyFill="1" applyBorder="1" applyAlignment="1">
      <alignment wrapText="1"/>
    </xf>
    <xf numFmtId="0" fontId="71" fillId="0" borderId="5" xfId="3" applyFont="1" applyBorder="1" applyAlignment="1" applyProtection="1">
      <alignment horizontal="center"/>
      <protection locked="0"/>
    </xf>
    <xf numFmtId="0" fontId="71" fillId="0" borderId="13" xfId="3" applyFont="1" applyBorder="1" applyAlignment="1" applyProtection="1">
      <alignment horizontal="center"/>
      <protection locked="0"/>
    </xf>
    <xf numFmtId="0" fontId="20" fillId="0" borderId="6" xfId="0" applyFont="1" applyBorder="1" applyAlignment="1">
      <alignment horizontal="center"/>
    </xf>
    <xf numFmtId="0" fontId="20" fillId="0" borderId="5" xfId="0" applyFont="1" applyBorder="1" applyAlignment="1">
      <alignment horizontal="center"/>
    </xf>
    <xf numFmtId="0" fontId="20" fillId="0" borderId="13" xfId="0" applyFont="1" applyBorder="1" applyAlignment="1">
      <alignment horizontal="center"/>
    </xf>
    <xf numFmtId="0" fontId="71" fillId="0" borderId="6" xfId="3" applyFont="1" applyBorder="1" applyAlignment="1" applyProtection="1">
      <alignment horizontal="center"/>
      <protection locked="0"/>
    </xf>
    <xf numFmtId="0" fontId="53" fillId="0" borderId="9" xfId="0" applyFont="1" applyBorder="1"/>
    <xf numFmtId="0" fontId="53" fillId="0" borderId="49" xfId="0" applyFont="1" applyBorder="1"/>
    <xf numFmtId="0" fontId="20" fillId="0" borderId="49" xfId="0" applyFont="1" applyBorder="1"/>
    <xf numFmtId="0" fontId="20" fillId="50" borderId="49" xfId="0" applyFont="1" applyFill="1" applyBorder="1"/>
    <xf numFmtId="0" fontId="53" fillId="0" borderId="52" xfId="0" applyFont="1" applyBorder="1"/>
    <xf numFmtId="0" fontId="53" fillId="0" borderId="87" xfId="0" applyFont="1" applyBorder="1" applyAlignment="1">
      <alignment wrapText="1"/>
    </xf>
    <xf numFmtId="0" fontId="20" fillId="0" borderId="19" xfId="0" applyFont="1" applyBorder="1"/>
    <xf numFmtId="0" fontId="53" fillId="0" borderId="19" xfId="0" applyFont="1" applyBorder="1"/>
    <xf numFmtId="0" fontId="20" fillId="50" borderId="19" xfId="0" applyFont="1" applyFill="1" applyBorder="1"/>
    <xf numFmtId="0" fontId="20" fillId="0" borderId="24" xfId="0" applyFont="1" applyBorder="1"/>
    <xf numFmtId="0" fontId="20" fillId="0" borderId="49" xfId="0" applyFont="1" applyBorder="1" applyAlignment="1">
      <alignment horizontal="center" vertical="center"/>
    </xf>
    <xf numFmtId="0" fontId="20" fillId="0" borderId="19" xfId="0" applyFont="1" applyBorder="1" applyAlignment="1">
      <alignment horizontal="center" vertical="center"/>
    </xf>
    <xf numFmtId="0" fontId="53" fillId="0" borderId="0" xfId="0" applyFont="1" applyAlignment="1">
      <alignment vertical="center" wrapText="1"/>
    </xf>
    <xf numFmtId="0" fontId="20" fillId="0" borderId="13" xfId="0" applyFont="1" applyBorder="1"/>
    <xf numFmtId="0" fontId="20" fillId="0" borderId="13" xfId="0" applyFont="1" applyBorder="1" applyAlignment="1">
      <alignment horizontal="center" vertical="center"/>
    </xf>
    <xf numFmtId="170" fontId="4" fillId="5" borderId="8" xfId="3" applyNumberFormat="1" applyFont="1" applyFill="1" applyBorder="1" applyProtection="1">
      <protection locked="0"/>
    </xf>
    <xf numFmtId="170" fontId="10" fillId="43" borderId="8" xfId="3" applyNumberFormat="1" applyFont="1" applyFill="1" applyBorder="1" applyProtection="1">
      <protection locked="0"/>
    </xf>
    <xf numFmtId="9" fontId="0" fillId="0" borderId="0" xfId="51" applyFont="1"/>
    <xf numFmtId="2" fontId="5" fillId="0" borderId="9" xfId="3" applyNumberFormat="1" applyFont="1" applyBorder="1"/>
    <xf numFmtId="9" fontId="20" fillId="0" borderId="19" xfId="51" applyFont="1" applyBorder="1"/>
    <xf numFmtId="9" fontId="20" fillId="0" borderId="49" xfId="51" applyFont="1" applyBorder="1"/>
    <xf numFmtId="9" fontId="20" fillId="0" borderId="0" xfId="51" applyFont="1"/>
    <xf numFmtId="170" fontId="10" fillId="51" borderId="8" xfId="3" applyNumberFormat="1" applyFont="1" applyFill="1" applyBorder="1" applyProtection="1">
      <protection locked="0"/>
    </xf>
    <xf numFmtId="170" fontId="4" fillId="44" borderId="6" xfId="3" applyNumberFormat="1" applyFont="1" applyFill="1" applyBorder="1"/>
    <xf numFmtId="170" fontId="4" fillId="44" borderId="6" xfId="3" applyNumberFormat="1" applyFont="1" applyFill="1" applyBorder="1" applyProtection="1">
      <protection locked="0"/>
    </xf>
    <xf numFmtId="170" fontId="10" fillId="51" borderId="6" xfId="3" applyNumberFormat="1" applyFont="1" applyFill="1" applyBorder="1" applyProtection="1">
      <protection locked="0"/>
    </xf>
    <xf numFmtId="170" fontId="4" fillId="0" borderId="9" xfId="0" applyNumberFormat="1" applyFont="1" applyBorder="1"/>
    <xf numFmtId="170" fontId="53" fillId="0" borderId="9" xfId="0" applyNumberFormat="1" applyFont="1" applyBorder="1"/>
    <xf numFmtId="170" fontId="20" fillId="50" borderId="9" xfId="0" applyNumberFormat="1" applyFont="1" applyFill="1" applyBorder="1"/>
    <xf numFmtId="0" fontId="4" fillId="0" borderId="94" xfId="3" applyFont="1" applyBorder="1" applyAlignment="1">
      <alignment horizontal="center"/>
    </xf>
    <xf numFmtId="170" fontId="5" fillId="0" borderId="5" xfId="3" applyNumberFormat="1" applyFont="1" applyBorder="1"/>
    <xf numFmtId="170" fontId="4" fillId="0" borderId="5" xfId="3" applyNumberFormat="1" applyFont="1" applyBorder="1"/>
    <xf numFmtId="170" fontId="10" fillId="4" borderId="5" xfId="3" applyNumberFormat="1" applyFont="1" applyFill="1" applyBorder="1" applyProtection="1">
      <protection locked="0"/>
    </xf>
    <xf numFmtId="170" fontId="4" fillId="0" borderId="77" xfId="3" applyNumberFormat="1" applyFont="1" applyBorder="1"/>
    <xf numFmtId="170" fontId="4" fillId="7" borderId="5" xfId="3" applyNumberFormat="1" applyFont="1" applyFill="1" applyBorder="1"/>
    <xf numFmtId="170" fontId="5" fillId="0" borderId="49" xfId="3" applyNumberFormat="1" applyFont="1" applyBorder="1"/>
    <xf numFmtId="170" fontId="10" fillId="4" borderId="49" xfId="3" applyNumberFormat="1" applyFont="1" applyFill="1" applyBorder="1" applyProtection="1">
      <protection locked="0"/>
    </xf>
    <xf numFmtId="170" fontId="4" fillId="7" borderId="49" xfId="3" applyNumberFormat="1" applyFont="1" applyFill="1" applyBorder="1"/>
    <xf numFmtId="170" fontId="4" fillId="7" borderId="77" xfId="3" applyNumberFormat="1" applyFont="1" applyFill="1" applyBorder="1"/>
    <xf numFmtId="170" fontId="5" fillId="0" borderId="77" xfId="3" applyNumberFormat="1" applyFont="1" applyBorder="1"/>
    <xf numFmtId="170" fontId="5" fillId="0" borderId="48" xfId="3" applyNumberFormat="1" applyFont="1" applyBorder="1"/>
    <xf numFmtId="170" fontId="5" fillId="0" borderId="56" xfId="3" applyNumberFormat="1" applyFont="1" applyBorder="1"/>
    <xf numFmtId="170" fontId="10" fillId="4" borderId="91" xfId="3" applyNumberFormat="1" applyFont="1" applyFill="1" applyBorder="1" applyProtection="1">
      <protection locked="0"/>
    </xf>
    <xf numFmtId="170" fontId="10" fillId="4" borderId="52" xfId="3" applyNumberFormat="1" applyFont="1" applyFill="1" applyBorder="1" applyProtection="1">
      <protection locked="0"/>
    </xf>
    <xf numFmtId="170" fontId="10" fillId="4" borderId="77" xfId="3" applyNumberFormat="1" applyFont="1" applyFill="1" applyBorder="1" applyProtection="1">
      <protection locked="0"/>
    </xf>
    <xf numFmtId="170" fontId="10" fillId="4" borderId="95" xfId="3" applyNumberFormat="1" applyFont="1" applyFill="1" applyBorder="1" applyProtection="1">
      <protection locked="0"/>
    </xf>
    <xf numFmtId="0" fontId="4" fillId="0" borderId="73" xfId="3" applyFont="1" applyBorder="1" applyAlignment="1">
      <alignment horizontal="center"/>
    </xf>
    <xf numFmtId="170" fontId="20" fillId="0" borderId="49" xfId="0" applyNumberFormat="1" applyFont="1" applyBorder="1"/>
    <xf numFmtId="170" fontId="20" fillId="0" borderId="19" xfId="0" applyNumberFormat="1" applyFont="1" applyBorder="1"/>
    <xf numFmtId="170" fontId="0" fillId="0" borderId="0" xfId="0" applyNumberFormat="1"/>
    <xf numFmtId="170" fontId="20" fillId="0" borderId="13" xfId="0" applyNumberFormat="1" applyFont="1" applyBorder="1"/>
    <xf numFmtId="170" fontId="20" fillId="0" borderId="0" xfId="0" applyNumberFormat="1" applyFont="1"/>
    <xf numFmtId="170" fontId="4" fillId="0" borderId="49" xfId="0" applyNumberFormat="1" applyFont="1" applyBorder="1"/>
    <xf numFmtId="170" fontId="5" fillId="0" borderId="49" xfId="0" applyNumberFormat="1" applyFont="1" applyBorder="1"/>
    <xf numFmtId="170" fontId="53" fillId="0" borderId="19" xfId="0" applyNumberFormat="1" applyFont="1" applyBorder="1"/>
    <xf numFmtId="170" fontId="4" fillId="50" borderId="49" xfId="0" applyNumberFormat="1" applyFont="1" applyFill="1" applyBorder="1"/>
    <xf numFmtId="170" fontId="20" fillId="50" borderId="19" xfId="0" applyNumberFormat="1" applyFont="1" applyFill="1" applyBorder="1"/>
    <xf numFmtId="170" fontId="4" fillId="0" borderId="52" xfId="0" applyNumberFormat="1" applyFont="1" applyBorder="1"/>
    <xf numFmtId="170" fontId="20" fillId="0" borderId="24" xfId="0" applyNumberFormat="1" applyFont="1" applyBorder="1"/>
    <xf numFmtId="170" fontId="20" fillId="0" borderId="52" xfId="0" applyNumberFormat="1" applyFont="1" applyBorder="1"/>
    <xf numFmtId="170" fontId="20" fillId="0" borderId="86" xfId="0" applyNumberFormat="1" applyFont="1" applyBorder="1"/>
    <xf numFmtId="2" fontId="5" fillId="0" borderId="24" xfId="0" applyNumberFormat="1" applyFont="1" applyBorder="1"/>
    <xf numFmtId="0" fontId="4" fillId="2" borderId="53" xfId="3" applyFont="1" applyFill="1" applyBorder="1"/>
    <xf numFmtId="0" fontId="4" fillId="2" borderId="73" xfId="3" applyFont="1" applyFill="1" applyBorder="1"/>
    <xf numFmtId="0" fontId="4" fillId="2" borderId="51" xfId="3" applyFont="1" applyFill="1" applyBorder="1" applyAlignment="1">
      <alignment horizontal="center"/>
    </xf>
    <xf numFmtId="0" fontId="4" fillId="2" borderId="58" xfId="3" applyFont="1" applyFill="1" applyBorder="1"/>
    <xf numFmtId="0" fontId="4" fillId="2" borderId="82" xfId="3" applyFont="1" applyFill="1" applyBorder="1" applyAlignment="1">
      <alignment horizontal="center" vertical="center"/>
    </xf>
    <xf numFmtId="0" fontId="4" fillId="2" borderId="26" xfId="3" applyFont="1" applyFill="1" applyBorder="1" applyAlignment="1">
      <alignment horizontal="center" vertical="center"/>
    </xf>
    <xf numFmtId="0" fontId="5" fillId="2" borderId="22" xfId="3" applyFont="1" applyFill="1" applyBorder="1" applyAlignment="1">
      <alignment horizontal="center"/>
    </xf>
    <xf numFmtId="0" fontId="5" fillId="2" borderId="19" xfId="3" applyFont="1" applyFill="1" applyBorder="1" applyAlignment="1">
      <alignment horizontal="center"/>
    </xf>
    <xf numFmtId="49" fontId="4" fillId="2" borderId="22" xfId="3" applyNumberFormat="1" applyFont="1" applyFill="1" applyBorder="1"/>
    <xf numFmtId="2" fontId="4" fillId="2" borderId="19" xfId="3" applyNumberFormat="1" applyFont="1" applyFill="1" applyBorder="1"/>
    <xf numFmtId="170" fontId="4" fillId="2" borderId="19" xfId="3" applyNumberFormat="1" applyFont="1" applyFill="1" applyBorder="1"/>
    <xf numFmtId="49" fontId="4" fillId="2" borderId="49" xfId="3" applyNumberFormat="1" applyFont="1" applyFill="1" applyBorder="1"/>
    <xf numFmtId="2" fontId="5" fillId="2" borderId="19" xfId="3" applyNumberFormat="1" applyFont="1" applyFill="1" applyBorder="1"/>
    <xf numFmtId="49" fontId="4" fillId="2" borderId="52" xfId="3" applyNumberFormat="1" applyFont="1" applyFill="1" applyBorder="1"/>
    <xf numFmtId="0" fontId="4" fillId="2" borderId="87" xfId="3" applyFont="1" applyFill="1" applyBorder="1"/>
    <xf numFmtId="2" fontId="5" fillId="0" borderId="87" xfId="3" applyNumberFormat="1" applyFont="1" applyBorder="1"/>
    <xf numFmtId="2" fontId="5" fillId="2" borderId="24" xfId="3" applyNumberFormat="1" applyFont="1" applyFill="1" applyBorder="1"/>
    <xf numFmtId="0" fontId="20" fillId="0" borderId="87" xfId="0" applyFont="1" applyBorder="1"/>
    <xf numFmtId="170" fontId="4" fillId="0" borderId="87" xfId="0" applyNumberFormat="1" applyFont="1" applyBorder="1"/>
    <xf numFmtId="164" fontId="4" fillId="45" borderId="9" xfId="3" applyNumberFormat="1" applyFont="1" applyFill="1" applyBorder="1"/>
    <xf numFmtId="164" fontId="4" fillId="45" borderId="6" xfId="3" applyNumberFormat="1" applyFont="1" applyFill="1" applyBorder="1"/>
    <xf numFmtId="0" fontId="4" fillId="0" borderId="9" xfId="3" applyFont="1" applyBorder="1"/>
    <xf numFmtId="0" fontId="4" fillId="0" borderId="19" xfId="3" applyFont="1" applyBorder="1"/>
    <xf numFmtId="164" fontId="4" fillId="45" borderId="6" xfId="3" applyNumberFormat="1" applyFont="1" applyFill="1" applyBorder="1" applyProtection="1">
      <protection locked="0"/>
    </xf>
    <xf numFmtId="164" fontId="4" fillId="45" borderId="9" xfId="3" applyNumberFormat="1" applyFont="1" applyFill="1" applyBorder="1" applyProtection="1">
      <protection locked="0"/>
    </xf>
    <xf numFmtId="164" fontId="20" fillId="45" borderId="6" xfId="3" applyNumberFormat="1" applyFont="1" applyFill="1" applyBorder="1" applyProtection="1">
      <protection locked="0"/>
    </xf>
    <xf numFmtId="0" fontId="20" fillId="0" borderId="49" xfId="0" applyFont="1" applyBorder="1" applyProtection="1">
      <protection locked="0"/>
    </xf>
    <xf numFmtId="0" fontId="20" fillId="0" borderId="19" xfId="0" applyFont="1" applyBorder="1" applyProtection="1">
      <protection locked="0"/>
    </xf>
    <xf numFmtId="2" fontId="4" fillId="0" borderId="19" xfId="3" applyNumberFormat="1" applyFont="1" applyBorder="1"/>
    <xf numFmtId="170" fontId="20" fillId="7" borderId="22" xfId="3" applyNumberFormat="1" applyFont="1" applyFill="1" applyBorder="1"/>
    <xf numFmtId="170" fontId="20" fillId="7" borderId="19" xfId="3" applyNumberFormat="1" applyFont="1" applyFill="1" applyBorder="1"/>
    <xf numFmtId="170" fontId="20" fillId="7" borderId="49" xfId="3" applyNumberFormat="1" applyFont="1" applyFill="1" applyBorder="1"/>
    <xf numFmtId="170" fontId="20" fillId="7" borderId="19" xfId="0" applyNumberFormat="1" applyFont="1" applyFill="1" applyBorder="1"/>
    <xf numFmtId="2" fontId="5" fillId="0" borderId="23" xfId="3" applyNumberFormat="1" applyFont="1" applyBorder="1"/>
    <xf numFmtId="164" fontId="20" fillId="0" borderId="6" xfId="3" applyNumberFormat="1" applyFont="1" applyBorder="1"/>
    <xf numFmtId="0" fontId="31" fillId="2" borderId="7" xfId="5" applyFont="1" applyFill="1" applyBorder="1" applyAlignment="1">
      <alignment horizontal="center" vertical="center" wrapText="1"/>
    </xf>
    <xf numFmtId="0" fontId="2" fillId="2" borderId="0" xfId="5" applyFill="1" applyAlignment="1">
      <alignment horizontal="center" vertical="center" wrapText="1"/>
    </xf>
    <xf numFmtId="0" fontId="2" fillId="2" borderId="10" xfId="5" applyFill="1" applyBorder="1" applyAlignment="1">
      <alignment horizontal="center" vertical="center" wrapText="1"/>
    </xf>
    <xf numFmtId="0" fontId="8" fillId="0" borderId="13" xfId="0" applyFont="1" applyBorder="1"/>
    <xf numFmtId="0" fontId="2" fillId="0" borderId="13" xfId="0" applyFont="1" applyBorder="1"/>
    <xf numFmtId="164" fontId="3" fillId="0" borderId="13" xfId="3" applyNumberFormat="1" applyBorder="1"/>
    <xf numFmtId="0" fontId="3" fillId="0" borderId="13" xfId="3" applyBorder="1"/>
    <xf numFmtId="2" fontId="4" fillId="7" borderId="58" xfId="3" applyNumberFormat="1" applyFont="1" applyFill="1" applyBorder="1"/>
    <xf numFmtId="2" fontId="4" fillId="7" borderId="26" xfId="3" applyNumberFormat="1" applyFont="1" applyFill="1" applyBorder="1"/>
    <xf numFmtId="164" fontId="20" fillId="36" borderId="6" xfId="3" applyNumberFormat="1" applyFont="1" applyFill="1" applyBorder="1" applyProtection="1">
      <protection locked="0"/>
    </xf>
    <xf numFmtId="164" fontId="4" fillId="6" borderId="6" xfId="3" applyNumberFormat="1" applyFont="1" applyFill="1" applyBorder="1" applyProtection="1">
      <protection locked="0"/>
    </xf>
    <xf numFmtId="164" fontId="4" fillId="6" borderId="9" xfId="3" applyNumberFormat="1" applyFont="1" applyFill="1" applyBorder="1" applyProtection="1">
      <protection locked="0"/>
    </xf>
    <xf numFmtId="165" fontId="10" fillId="43" borderId="6" xfId="3" applyNumberFormat="1" applyFont="1" applyFill="1" applyBorder="1"/>
    <xf numFmtId="165" fontId="10" fillId="43" borderId="9" xfId="3" applyNumberFormat="1" applyFont="1" applyFill="1" applyBorder="1"/>
    <xf numFmtId="164" fontId="4" fillId="6" borderId="6" xfId="3" applyNumberFormat="1" applyFont="1" applyFill="1" applyBorder="1"/>
    <xf numFmtId="164" fontId="4" fillId="6" borderId="9" xfId="3" applyNumberFormat="1" applyFont="1" applyFill="1" applyBorder="1"/>
    <xf numFmtId="164" fontId="4" fillId="6" borderId="16" xfId="3" applyNumberFormat="1" applyFont="1" applyFill="1" applyBorder="1" applyProtection="1">
      <protection locked="0"/>
    </xf>
    <xf numFmtId="164" fontId="4" fillId="6" borderId="16" xfId="3" applyNumberFormat="1" applyFont="1" applyFill="1" applyBorder="1"/>
    <xf numFmtId="0" fontId="2" fillId="6" borderId="7" xfId="5" applyFill="1" applyBorder="1"/>
    <xf numFmtId="0" fontId="2" fillId="6" borderId="0" xfId="5" applyFill="1"/>
    <xf numFmtId="0" fontId="19" fillId="6" borderId="0" xfId="5" applyFont="1" applyFill="1"/>
    <xf numFmtId="0" fontId="35" fillId="6" borderId="0" xfId="5" applyFont="1" applyFill="1"/>
    <xf numFmtId="0" fontId="35" fillId="6" borderId="10" xfId="5" applyFont="1" applyFill="1" applyBorder="1"/>
    <xf numFmtId="0" fontId="2" fillId="6" borderId="2" xfId="5" applyFill="1" applyBorder="1"/>
    <xf numFmtId="0" fontId="33" fillId="6" borderId="7" xfId="5" applyFont="1" applyFill="1" applyBorder="1"/>
    <xf numFmtId="0" fontId="31" fillId="6" borderId="7" xfId="5" applyFont="1" applyFill="1" applyBorder="1" applyAlignment="1">
      <alignment vertical="top" wrapText="1"/>
    </xf>
    <xf numFmtId="0" fontId="31" fillId="6" borderId="0" xfId="5" applyFont="1" applyFill="1" applyAlignment="1">
      <alignment vertical="top" wrapText="1"/>
    </xf>
    <xf numFmtId="0" fontId="0" fillId="6" borderId="0" xfId="0" applyFill="1"/>
    <xf numFmtId="41" fontId="2" fillId="6" borderId="0" xfId="5" applyNumberFormat="1" applyFill="1"/>
    <xf numFmtId="41" fontId="2" fillId="0" borderId="0" xfId="5" applyNumberFormat="1"/>
    <xf numFmtId="168" fontId="4" fillId="2" borderId="19" xfId="3" applyNumberFormat="1" applyFont="1" applyFill="1" applyBorder="1"/>
    <xf numFmtId="168" fontId="4" fillId="7" borderId="19" xfId="3" applyNumberFormat="1" applyFont="1" applyFill="1" applyBorder="1"/>
    <xf numFmtId="168" fontId="4" fillId="0" borderId="25" xfId="3" applyNumberFormat="1" applyFont="1" applyBorder="1"/>
    <xf numFmtId="168" fontId="4" fillId="0" borderId="26" xfId="0" applyNumberFormat="1" applyFont="1" applyBorder="1"/>
    <xf numFmtId="168" fontId="4" fillId="0" borderId="58" xfId="3" applyNumberFormat="1" applyFont="1" applyBorder="1"/>
    <xf numFmtId="168" fontId="4" fillId="0" borderId="26" xfId="3" applyNumberFormat="1" applyFont="1" applyBorder="1"/>
    <xf numFmtId="168" fontId="4" fillId="7" borderId="25" xfId="3" applyNumberFormat="1" applyFont="1" applyFill="1" applyBorder="1"/>
    <xf numFmtId="168" fontId="4" fillId="7" borderId="26" xfId="0" applyNumberFormat="1" applyFont="1" applyFill="1" applyBorder="1"/>
    <xf numFmtId="168" fontId="4" fillId="7" borderId="58" xfId="3" applyNumberFormat="1" applyFont="1" applyFill="1" applyBorder="1"/>
    <xf numFmtId="168" fontId="4" fillId="7" borderId="26" xfId="3" applyNumberFormat="1" applyFont="1" applyFill="1" applyBorder="1"/>
    <xf numFmtId="170" fontId="10" fillId="51" borderId="9" xfId="3" applyNumberFormat="1" applyFont="1" applyFill="1" applyBorder="1" applyProtection="1">
      <protection locked="0"/>
    </xf>
    <xf numFmtId="170" fontId="10" fillId="3" borderId="9" xfId="0" applyNumberFormat="1" applyFont="1" applyFill="1" applyBorder="1" applyProtection="1">
      <protection locked="0"/>
    </xf>
    <xf numFmtId="170" fontId="10" fillId="3" borderId="19" xfId="0" applyNumberFormat="1" applyFont="1" applyFill="1" applyBorder="1" applyProtection="1">
      <protection locked="0"/>
    </xf>
    <xf numFmtId="9" fontId="10" fillId="4" borderId="9" xfId="51" applyFont="1" applyFill="1" applyBorder="1" applyProtection="1">
      <protection locked="0"/>
    </xf>
    <xf numFmtId="9" fontId="10" fillId="4" borderId="19" xfId="51" applyFont="1" applyFill="1" applyBorder="1" applyProtection="1">
      <protection locked="0"/>
    </xf>
    <xf numFmtId="170" fontId="20" fillId="52" borderId="9" xfId="3" applyNumberFormat="1" applyFont="1" applyFill="1" applyBorder="1"/>
    <xf numFmtId="170" fontId="10" fillId="3" borderId="22" xfId="3" applyNumberFormat="1" applyFont="1" applyFill="1" applyBorder="1" applyProtection="1">
      <protection locked="0"/>
    </xf>
    <xf numFmtId="170" fontId="10" fillId="3" borderId="19" xfId="3" applyNumberFormat="1" applyFont="1" applyFill="1" applyBorder="1" applyProtection="1">
      <protection locked="0"/>
    </xf>
    <xf numFmtId="170" fontId="10" fillId="3" borderId="49" xfId="3" applyNumberFormat="1" applyFont="1" applyFill="1" applyBorder="1" applyProtection="1">
      <protection locked="0"/>
    </xf>
    <xf numFmtId="170" fontId="10" fillId="3" borderId="77" xfId="3" applyNumberFormat="1" applyFont="1" applyFill="1" applyBorder="1" applyProtection="1">
      <protection locked="0"/>
    </xf>
    <xf numFmtId="170" fontId="10" fillId="3" borderId="49" xfId="0" applyNumberFormat="1" applyFont="1" applyFill="1" applyBorder="1" applyProtection="1">
      <protection locked="0"/>
    </xf>
    <xf numFmtId="9" fontId="10" fillId="4" borderId="49" xfId="51" applyFont="1" applyFill="1" applyBorder="1" applyProtection="1">
      <protection locked="0"/>
    </xf>
    <xf numFmtId="170" fontId="20" fillId="0" borderId="72" xfId="0" applyNumberFormat="1" applyFont="1" applyBorder="1"/>
    <xf numFmtId="170" fontId="20" fillId="0" borderId="74" xfId="0" applyNumberFormat="1" applyFont="1" applyBorder="1"/>
    <xf numFmtId="170" fontId="10" fillId="51" borderId="22" xfId="3" applyNumberFormat="1" applyFont="1" applyFill="1" applyBorder="1" applyProtection="1">
      <protection locked="0"/>
    </xf>
    <xf numFmtId="170" fontId="10" fillId="51" borderId="19" xfId="3" applyNumberFormat="1" applyFont="1" applyFill="1" applyBorder="1" applyProtection="1">
      <protection locked="0"/>
    </xf>
    <xf numFmtId="170" fontId="10" fillId="42" borderId="22" xfId="3" applyNumberFormat="1" applyFont="1" applyFill="1" applyBorder="1" applyProtection="1">
      <protection locked="0"/>
    </xf>
    <xf numFmtId="170" fontId="10" fillId="42" borderId="19" xfId="3" applyNumberFormat="1" applyFont="1" applyFill="1" applyBorder="1" applyProtection="1">
      <protection locked="0"/>
    </xf>
    <xf numFmtId="170" fontId="10" fillId="37" borderId="9" xfId="3" quotePrefix="1" applyNumberFormat="1" applyFont="1" applyFill="1" applyBorder="1" applyProtection="1">
      <protection locked="0"/>
    </xf>
    <xf numFmtId="170" fontId="4" fillId="0" borderId="16" xfId="3" applyNumberFormat="1" applyFont="1" applyBorder="1" applyAlignment="1">
      <alignment horizontal="right"/>
    </xf>
    <xf numFmtId="170" fontId="4" fillId="0" borderId="8" xfId="3" applyNumberFormat="1" applyFont="1" applyBorder="1" applyAlignment="1">
      <alignment horizontal="right"/>
    </xf>
    <xf numFmtId="170" fontId="4" fillId="0" borderId="17" xfId="3" applyNumberFormat="1" applyFont="1" applyBorder="1" applyAlignment="1">
      <alignment horizontal="right"/>
    </xf>
    <xf numFmtId="0" fontId="0" fillId="0" borderId="1" xfId="0" applyBorder="1"/>
    <xf numFmtId="0" fontId="0" fillId="0" borderId="16" xfId="0" applyBorder="1"/>
    <xf numFmtId="0" fontId="13" fillId="0" borderId="9" xfId="0" applyFont="1" applyBorder="1" applyAlignment="1">
      <alignment vertical="top" wrapText="1"/>
    </xf>
    <xf numFmtId="0" fontId="28" fillId="6" borderId="0" xfId="0" applyFont="1" applyFill="1"/>
    <xf numFmtId="0" fontId="13" fillId="6" borderId="0" xfId="0" applyFont="1" applyFill="1"/>
    <xf numFmtId="0" fontId="14" fillId="6" borderId="0" xfId="0" applyFont="1" applyFill="1"/>
    <xf numFmtId="0" fontId="2" fillId="6" borderId="0" xfId="0" applyFont="1" applyFill="1"/>
    <xf numFmtId="0" fontId="9" fillId="6" borderId="0" xfId="0" applyFont="1" applyFill="1"/>
    <xf numFmtId="170" fontId="10" fillId="43" borderId="5" xfId="3" applyNumberFormat="1" applyFont="1" applyFill="1" applyBorder="1" applyProtection="1">
      <protection locked="0"/>
    </xf>
    <xf numFmtId="170" fontId="10" fillId="43" borderId="91" xfId="3" applyNumberFormat="1" applyFont="1" applyFill="1" applyBorder="1" applyProtection="1">
      <protection locked="0"/>
    </xf>
    <xf numFmtId="0" fontId="0" fillId="0" borderId="74" xfId="0" applyBorder="1"/>
    <xf numFmtId="0" fontId="0" fillId="0" borderId="84" xfId="0" applyBorder="1"/>
    <xf numFmtId="170" fontId="4" fillId="52" borderId="6" xfId="3" applyNumberFormat="1" applyFont="1" applyFill="1" applyBorder="1"/>
    <xf numFmtId="170" fontId="4" fillId="52" borderId="9" xfId="3" applyNumberFormat="1" applyFont="1" applyFill="1" applyBorder="1"/>
    <xf numFmtId="170" fontId="10" fillId="42" borderId="49" xfId="3" applyNumberFormat="1" applyFont="1" applyFill="1" applyBorder="1" applyProtection="1">
      <protection locked="0"/>
    </xf>
    <xf numFmtId="170" fontId="10" fillId="42" borderId="77" xfId="3" applyNumberFormat="1" applyFont="1" applyFill="1" applyBorder="1" applyProtection="1">
      <protection locked="0"/>
    </xf>
    <xf numFmtId="170" fontId="10" fillId="43" borderId="22" xfId="3" applyNumberFormat="1" applyFont="1" applyFill="1" applyBorder="1" applyProtection="1">
      <protection locked="0"/>
    </xf>
    <xf numFmtId="170" fontId="10" fillId="43" borderId="19" xfId="3" applyNumberFormat="1" applyFont="1" applyFill="1" applyBorder="1" applyProtection="1">
      <protection locked="0"/>
    </xf>
    <xf numFmtId="170" fontId="10" fillId="43" borderId="24" xfId="3" applyNumberFormat="1" applyFont="1" applyFill="1" applyBorder="1" applyProtection="1">
      <protection locked="0"/>
    </xf>
    <xf numFmtId="170" fontId="10" fillId="43" borderId="23" xfId="3" applyNumberFormat="1" applyFont="1" applyFill="1" applyBorder="1" applyProtection="1">
      <protection locked="0"/>
    </xf>
    <xf numFmtId="170" fontId="20" fillId="7" borderId="49" xfId="0" applyNumberFormat="1" applyFont="1" applyFill="1" applyBorder="1"/>
    <xf numFmtId="0" fontId="20" fillId="7" borderId="49" xfId="0" applyFont="1" applyFill="1" applyBorder="1"/>
    <xf numFmtId="0" fontId="20" fillId="7" borderId="19" xfId="0" applyFont="1" applyFill="1" applyBorder="1"/>
    <xf numFmtId="9" fontId="20" fillId="7" borderId="49" xfId="51" applyFont="1" applyFill="1" applyBorder="1"/>
    <xf numFmtId="9" fontId="20" fillId="7" borderId="19" xfId="51" applyFont="1" applyFill="1" applyBorder="1"/>
    <xf numFmtId="170" fontId="20" fillId="7" borderId="52" xfId="0" applyNumberFormat="1" applyFont="1" applyFill="1" applyBorder="1"/>
    <xf numFmtId="170" fontId="20" fillId="7" borderId="24" xfId="0" applyNumberFormat="1" applyFont="1" applyFill="1" applyBorder="1"/>
    <xf numFmtId="0" fontId="85" fillId="0" borderId="0" xfId="0" applyFont="1"/>
    <xf numFmtId="170" fontId="10" fillId="51" borderId="49" xfId="3" applyNumberFormat="1" applyFont="1" applyFill="1" applyBorder="1" applyProtection="1">
      <protection locked="0"/>
    </xf>
    <xf numFmtId="170" fontId="10" fillId="51" borderId="77" xfId="3" applyNumberFormat="1" applyFont="1" applyFill="1" applyBorder="1" applyProtection="1">
      <protection locked="0"/>
    </xf>
    <xf numFmtId="170" fontId="5" fillId="0" borderId="85" xfId="3" applyNumberFormat="1" applyFont="1" applyBorder="1"/>
    <xf numFmtId="170" fontId="4" fillId="0" borderId="13" xfId="3" applyNumberFormat="1" applyFont="1" applyBorder="1"/>
    <xf numFmtId="170" fontId="5" fillId="0" borderId="13" xfId="3" applyNumberFormat="1" applyFont="1" applyBorder="1"/>
    <xf numFmtId="170" fontId="4" fillId="0" borderId="86" xfId="3" applyNumberFormat="1" applyFont="1" applyBorder="1"/>
    <xf numFmtId="9" fontId="10" fillId="4" borderId="22" xfId="51" applyFont="1" applyFill="1" applyBorder="1" applyProtection="1">
      <protection locked="0"/>
    </xf>
    <xf numFmtId="0" fontId="83" fillId="0" borderId="0" xfId="3" applyFont="1" applyAlignment="1" applyProtection="1">
      <alignment horizontal="center" vertical="center" wrapText="1"/>
      <protection locked="0"/>
    </xf>
    <xf numFmtId="0" fontId="71" fillId="0" borderId="6" xfId="0" applyFont="1" applyBorder="1" applyAlignment="1">
      <alignment horizontal="center"/>
    </xf>
    <xf numFmtId="0" fontId="71" fillId="0" borderId="5" xfId="0" applyFont="1" applyBorder="1" applyAlignment="1">
      <alignment horizontal="center"/>
    </xf>
    <xf numFmtId="0" fontId="71" fillId="0" borderId="13" xfId="0" applyFont="1" applyBorder="1" applyAlignment="1">
      <alignment horizontal="center"/>
    </xf>
    <xf numFmtId="0" fontId="86" fillId="0" borderId="0" xfId="3" applyFont="1" applyAlignment="1" applyProtection="1">
      <alignment horizontal="center" vertical="center" wrapText="1"/>
      <protection locked="0"/>
    </xf>
    <xf numFmtId="0" fontId="4" fillId="0" borderId="82" xfId="3" applyFont="1" applyBorder="1" applyProtection="1">
      <protection locked="0"/>
    </xf>
    <xf numFmtId="0" fontId="28" fillId="0" borderId="82" xfId="0" applyFont="1" applyBorder="1"/>
    <xf numFmtId="0" fontId="27" fillId="0" borderId="82" xfId="3" applyFont="1" applyBorder="1" applyProtection="1">
      <protection locked="0"/>
    </xf>
    <xf numFmtId="0" fontId="83" fillId="0" borderId="82" xfId="3" applyFont="1" applyBorder="1" applyAlignment="1" applyProtection="1">
      <alignment horizontal="center" vertical="center" wrapText="1"/>
      <protection locked="0"/>
    </xf>
    <xf numFmtId="0" fontId="27" fillId="0" borderId="82" xfId="0" applyFont="1" applyBorder="1"/>
    <xf numFmtId="0" fontId="86" fillId="0" borderId="82" xfId="3" applyFont="1" applyBorder="1" applyAlignment="1" applyProtection="1">
      <alignment horizontal="center" vertical="center" wrapText="1"/>
      <protection locked="0"/>
    </xf>
    <xf numFmtId="170" fontId="10" fillId="53" borderId="5" xfId="3" applyNumberFormat="1" applyFont="1" applyFill="1" applyBorder="1" applyProtection="1">
      <protection locked="0"/>
    </xf>
    <xf numFmtId="0" fontId="13" fillId="0" borderId="2" xfId="0" applyFont="1" applyBorder="1" applyAlignment="1">
      <alignment horizontal="center"/>
    </xf>
    <xf numFmtId="0" fontId="13" fillId="0" borderId="16" xfId="0" applyFont="1" applyBorder="1"/>
    <xf numFmtId="0" fontId="13" fillId="0" borderId="84" xfId="0" applyFont="1" applyBorder="1" applyAlignment="1">
      <alignment horizontal="center"/>
    </xf>
    <xf numFmtId="0" fontId="13" fillId="0" borderId="5" xfId="0" applyFont="1" applyBorder="1" applyAlignment="1">
      <alignment horizontal="center"/>
    </xf>
    <xf numFmtId="167" fontId="2" fillId="0" borderId="9" xfId="0" applyNumberFormat="1" applyFont="1" applyBorder="1" applyProtection="1">
      <protection locked="0"/>
    </xf>
    <xf numFmtId="167" fontId="2" fillId="0" borderId="16" xfId="0" applyNumberFormat="1" applyFont="1" applyBorder="1" applyProtection="1">
      <protection locked="0"/>
    </xf>
    <xf numFmtId="0" fontId="13" fillId="0" borderId="90" xfId="0" applyFont="1" applyBorder="1"/>
    <xf numFmtId="167" fontId="3" fillId="0" borderId="90" xfId="0" applyNumberFormat="1" applyFont="1" applyBorder="1"/>
    <xf numFmtId="0" fontId="4" fillId="0" borderId="49" xfId="0" applyFont="1" applyBorder="1"/>
    <xf numFmtId="0" fontId="4" fillId="0" borderId="19" xfId="0" applyFont="1" applyBorder="1"/>
    <xf numFmtId="170" fontId="4" fillId="0" borderId="24" xfId="0" applyNumberFormat="1" applyFont="1" applyBorder="1"/>
    <xf numFmtId="164" fontId="4" fillId="45" borderId="16" xfId="3" applyNumberFormat="1" applyFont="1" applyFill="1" applyBorder="1" applyProtection="1">
      <protection locked="0"/>
    </xf>
    <xf numFmtId="1" fontId="10" fillId="43" borderId="6" xfId="3" applyNumberFormat="1" applyFont="1" applyFill="1" applyBorder="1" applyProtection="1">
      <protection locked="0"/>
    </xf>
    <xf numFmtId="1" fontId="10" fillId="43" borderId="9" xfId="3" applyNumberFormat="1" applyFont="1" applyFill="1" applyBorder="1" applyProtection="1">
      <protection locked="0"/>
    </xf>
    <xf numFmtId="164" fontId="10" fillId="51" borderId="6" xfId="3" applyNumberFormat="1" applyFont="1" applyFill="1" applyBorder="1" applyProtection="1">
      <protection locked="0"/>
    </xf>
    <xf numFmtId="9" fontId="10" fillId="51" borderId="49" xfId="51" applyFont="1" applyFill="1" applyBorder="1" applyProtection="1">
      <protection locked="0"/>
    </xf>
    <xf numFmtId="9" fontId="10" fillId="51" borderId="19" xfId="51" applyFont="1" applyFill="1" applyBorder="1" applyProtection="1">
      <protection locked="0"/>
    </xf>
    <xf numFmtId="170" fontId="10" fillId="42" borderId="49" xfId="0" applyNumberFormat="1" applyFont="1" applyFill="1" applyBorder="1" applyProtection="1">
      <protection locked="0"/>
    </xf>
    <xf numFmtId="170" fontId="10" fillId="42" borderId="19" xfId="0" applyNumberFormat="1" applyFont="1" applyFill="1" applyBorder="1" applyProtection="1">
      <protection locked="0"/>
    </xf>
    <xf numFmtId="0" fontId="32" fillId="12" borderId="1" xfId="5" applyFont="1" applyFill="1" applyBorder="1" applyAlignment="1">
      <alignment horizontal="center"/>
    </xf>
    <xf numFmtId="0" fontId="32" fillId="12" borderId="2" xfId="5" applyFont="1" applyFill="1" applyBorder="1"/>
    <xf numFmtId="0" fontId="32" fillId="12" borderId="14" xfId="5" applyFont="1" applyFill="1" applyBorder="1"/>
    <xf numFmtId="0" fontId="31" fillId="2" borderId="7" xfId="5" applyFont="1" applyFill="1" applyBorder="1" applyAlignment="1">
      <alignment horizontal="center" vertical="center" wrapText="1"/>
    </xf>
    <xf numFmtId="0" fontId="2" fillId="2" borderId="0" xfId="5" applyFill="1" applyAlignment="1">
      <alignment horizontal="center" vertical="center" wrapText="1"/>
    </xf>
    <xf numFmtId="0" fontId="2" fillId="2" borderId="10" xfId="5" applyFill="1" applyBorder="1" applyAlignment="1">
      <alignment horizontal="center" vertical="center" wrapText="1"/>
    </xf>
    <xf numFmtId="0" fontId="31" fillId="2" borderId="0" xfId="5" applyFont="1" applyFill="1" applyAlignment="1">
      <alignment horizontal="center" vertical="center" wrapText="1"/>
    </xf>
    <xf numFmtId="0" fontId="31" fillId="2" borderId="10" xfId="5" applyFont="1" applyFill="1" applyBorder="1" applyAlignment="1">
      <alignment horizontal="center" vertical="center" wrapText="1"/>
    </xf>
    <xf numFmtId="0" fontId="32" fillId="12" borderId="2" xfId="5" applyFont="1" applyFill="1" applyBorder="1" applyAlignment="1">
      <alignment horizontal="center"/>
    </xf>
    <xf numFmtId="0" fontId="32" fillId="12" borderId="14" xfId="5" applyFont="1" applyFill="1" applyBorder="1" applyAlignment="1">
      <alignment horizontal="center"/>
    </xf>
    <xf numFmtId="49" fontId="8" fillId="10" borderId="6" xfId="5" applyNumberFormat="1" applyFont="1" applyFill="1" applyBorder="1" applyAlignment="1" applyProtection="1">
      <alignment horizontal="left" indent="1"/>
      <protection locked="0"/>
    </xf>
    <xf numFmtId="49" fontId="8" fillId="10" borderId="5" xfId="5" applyNumberFormat="1" applyFont="1" applyFill="1" applyBorder="1" applyAlignment="1" applyProtection="1">
      <alignment horizontal="left" indent="1"/>
      <protection locked="0"/>
    </xf>
    <xf numFmtId="49" fontId="8" fillId="10" borderId="13" xfId="5" applyNumberFormat="1" applyFont="1" applyFill="1" applyBorder="1" applyAlignment="1" applyProtection="1">
      <alignment horizontal="left" indent="1"/>
      <protection locked="0"/>
    </xf>
    <xf numFmtId="0" fontId="59" fillId="2" borderId="7" xfId="5" applyFont="1" applyFill="1" applyBorder="1" applyAlignment="1">
      <alignment horizontal="center" vertical="center" wrapText="1"/>
    </xf>
    <xf numFmtId="0" fontId="59" fillId="2" borderId="0" xfId="5" applyFont="1" applyFill="1" applyAlignment="1">
      <alignment horizontal="center" vertical="center" wrapText="1"/>
    </xf>
    <xf numFmtId="0" fontId="59" fillId="2" borderId="10" xfId="5" applyFont="1" applyFill="1" applyBorder="1" applyAlignment="1">
      <alignment horizontal="center" vertical="center" wrapText="1"/>
    </xf>
    <xf numFmtId="49" fontId="8" fillId="4" borderId="6" xfId="5" applyNumberFormat="1" applyFont="1" applyFill="1" applyBorder="1" applyAlignment="1" applyProtection="1">
      <alignment horizontal="left" indent="1"/>
      <protection locked="0"/>
    </xf>
    <xf numFmtId="49" fontId="8" fillId="4" borderId="5" xfId="5" applyNumberFormat="1" applyFont="1" applyFill="1" applyBorder="1" applyAlignment="1" applyProtection="1">
      <alignment horizontal="left" indent="1"/>
      <protection locked="0"/>
    </xf>
    <xf numFmtId="49" fontId="8" fillId="4" borderId="13" xfId="5" applyNumberFormat="1" applyFont="1" applyFill="1" applyBorder="1" applyAlignment="1" applyProtection="1">
      <alignment horizontal="left" indent="1"/>
      <protection locked="0"/>
    </xf>
    <xf numFmtId="0" fontId="31" fillId="2" borderId="7" xfId="5" applyFont="1" applyFill="1" applyBorder="1" applyAlignment="1">
      <alignment horizontal="left" vertical="center" wrapText="1"/>
    </xf>
    <xf numFmtId="0" fontId="31" fillId="2" borderId="0" xfId="5" applyFont="1" applyFill="1" applyAlignment="1">
      <alignment horizontal="left" vertical="center" wrapText="1"/>
    </xf>
    <xf numFmtId="0" fontId="31" fillId="2" borderId="10" xfId="5" applyFont="1" applyFill="1" applyBorder="1" applyAlignment="1">
      <alignment horizontal="left" vertical="center" wrapText="1"/>
    </xf>
    <xf numFmtId="0" fontId="31" fillId="2" borderId="3" xfId="5" applyFont="1" applyFill="1" applyBorder="1" applyAlignment="1">
      <alignment horizontal="left" vertical="center" wrapText="1"/>
    </xf>
    <xf numFmtId="0" fontId="31" fillId="2" borderId="82" xfId="5" applyFont="1" applyFill="1" applyBorder="1" applyAlignment="1">
      <alignment horizontal="left" vertical="center" wrapText="1"/>
    </xf>
    <xf numFmtId="0" fontId="31" fillId="2" borderId="15" xfId="5" applyFont="1" applyFill="1" applyBorder="1" applyAlignment="1">
      <alignment horizontal="left" vertical="center" wrapText="1"/>
    </xf>
    <xf numFmtId="0" fontId="13" fillId="0" borderId="0" xfId="0" applyFont="1" applyAlignment="1">
      <alignment horizontal="left" wrapText="1"/>
    </xf>
    <xf numFmtId="0" fontId="19" fillId="0" borderId="9" xfId="0" applyFont="1" applyBorder="1" applyAlignment="1">
      <alignment horizontal="left"/>
    </xf>
    <xf numFmtId="0" fontId="2" fillId="0" borderId="9" xfId="3" applyFont="1" applyBorder="1" applyAlignment="1">
      <alignment horizontal="left"/>
    </xf>
    <xf numFmtId="0" fontId="13" fillId="0" borderId="29" xfId="0" applyFont="1" applyBorder="1" applyAlignment="1">
      <alignment horizontal="left" wrapText="1"/>
    </xf>
    <xf numFmtId="0" fontId="13" fillId="0" borderId="62" xfId="0" applyFont="1" applyBorder="1" applyAlignment="1">
      <alignment horizontal="left" wrapText="1"/>
    </xf>
    <xf numFmtId="0" fontId="13" fillId="0" borderId="30" xfId="0" applyFont="1" applyBorder="1" applyAlignment="1">
      <alignment horizontal="left" wrapText="1"/>
    </xf>
    <xf numFmtId="0" fontId="3" fillId="0" borderId="9" xfId="3" applyBorder="1" applyAlignment="1">
      <alignment horizontal="center"/>
    </xf>
    <xf numFmtId="0" fontId="2" fillId="0" borderId="6" xfId="3" applyFont="1" applyBorder="1" applyAlignment="1">
      <alignment horizontal="left"/>
    </xf>
    <xf numFmtId="0" fontId="2" fillId="0" borderId="5" xfId="3" applyFont="1" applyBorder="1" applyAlignment="1">
      <alignment horizontal="left"/>
    </xf>
    <xf numFmtId="0" fontId="2" fillId="0" borderId="13" xfId="3" applyFont="1" applyBorder="1" applyAlignment="1">
      <alignment horizontal="left"/>
    </xf>
    <xf numFmtId="9" fontId="63" fillId="0" borderId="83" xfId="0" applyNumberFormat="1" applyFont="1" applyBorder="1" applyAlignment="1">
      <alignment horizontal="center"/>
    </xf>
    <xf numFmtId="9" fontId="63" fillId="0" borderId="0" xfId="0" applyNumberFormat="1" applyFont="1" applyAlignment="1">
      <alignment horizontal="center"/>
    </xf>
    <xf numFmtId="0" fontId="74" fillId="0" borderId="0" xfId="0" applyFont="1" applyAlignment="1">
      <alignment horizontal="center"/>
    </xf>
    <xf numFmtId="9" fontId="2" fillId="0" borderId="9" xfId="0" applyNumberFormat="1" applyFont="1" applyBorder="1" applyAlignment="1" applyProtection="1">
      <alignment horizontal="center"/>
      <protection locked="0"/>
    </xf>
    <xf numFmtId="0" fontId="3" fillId="0" borderId="9" xfId="3" applyBorder="1" applyAlignment="1">
      <alignment horizontal="left"/>
    </xf>
    <xf numFmtId="0" fontId="13" fillId="0" borderId="36" xfId="0" applyFont="1" applyBorder="1" applyAlignment="1">
      <alignment horizontal="left" wrapText="1"/>
    </xf>
    <xf numFmtId="0" fontId="13" fillId="0" borderId="38" xfId="0" applyFont="1" applyBorder="1" applyAlignment="1">
      <alignment horizontal="left" wrapText="1"/>
    </xf>
    <xf numFmtId="0" fontId="13" fillId="0" borderId="39" xfId="0" applyFont="1" applyBorder="1" applyAlignment="1">
      <alignment horizontal="left" wrapText="1"/>
    </xf>
    <xf numFmtId="0" fontId="13" fillId="0" borderId="40" xfId="0" applyFont="1" applyBorder="1" applyAlignment="1">
      <alignment horizontal="left" wrapText="1"/>
    </xf>
    <xf numFmtId="0" fontId="13" fillId="0" borderId="41" xfId="0" applyFont="1" applyBorder="1" applyAlignment="1">
      <alignment horizontal="left" wrapText="1"/>
    </xf>
    <xf numFmtId="0" fontId="13" fillId="0" borderId="42" xfId="0" applyFont="1" applyBorder="1" applyAlignment="1">
      <alignment horizontal="left" wrapText="1"/>
    </xf>
    <xf numFmtId="0" fontId="8" fillId="3" borderId="33" xfId="0" applyFont="1" applyFill="1" applyBorder="1" applyAlignment="1" applyProtection="1">
      <alignment horizontal="left"/>
      <protection locked="0"/>
    </xf>
    <xf numFmtId="0" fontId="8" fillId="3" borderId="34" xfId="0" applyFont="1" applyFill="1" applyBorder="1" applyAlignment="1" applyProtection="1">
      <alignment horizontal="left"/>
      <protection locked="0"/>
    </xf>
    <xf numFmtId="0" fontId="8" fillId="3" borderId="35" xfId="0" applyFont="1" applyFill="1" applyBorder="1" applyAlignment="1" applyProtection="1">
      <alignment horizontal="left"/>
      <protection locked="0"/>
    </xf>
    <xf numFmtId="0" fontId="12" fillId="0" borderId="9" xfId="0" applyFont="1" applyBorder="1" applyAlignment="1">
      <alignment horizontal="center" wrapText="1"/>
    </xf>
    <xf numFmtId="169" fontId="8" fillId="3" borderId="9" xfId="0" applyNumberFormat="1" applyFont="1" applyFill="1" applyBorder="1" applyAlignment="1" applyProtection="1">
      <alignment horizontal="right" indent="2"/>
      <protection locked="0"/>
    </xf>
    <xf numFmtId="0" fontId="62" fillId="0" borderId="40" xfId="0" applyFont="1" applyBorder="1" applyAlignment="1">
      <alignment horizontal="left" vertical="top" wrapText="1"/>
    </xf>
    <xf numFmtId="0" fontId="62" fillId="0" borderId="41" xfId="0" applyFont="1" applyBorder="1" applyAlignment="1">
      <alignment horizontal="left" vertical="top" wrapText="1"/>
    </xf>
    <xf numFmtId="0" fontId="62" fillId="0" borderId="42" xfId="0" applyFont="1" applyBorder="1" applyAlignment="1">
      <alignment horizontal="left" vertical="top" wrapText="1"/>
    </xf>
    <xf numFmtId="14" fontId="8" fillId="3" borderId="9" xfId="0" applyNumberFormat="1" applyFont="1" applyFill="1" applyBorder="1" applyAlignment="1" applyProtection="1">
      <alignment horizontal="right" indent="2"/>
      <protection locked="0"/>
    </xf>
    <xf numFmtId="0" fontId="74" fillId="0" borderId="0" xfId="0" applyFont="1" applyAlignment="1">
      <alignment horizontal="left" vertical="top" wrapText="1"/>
    </xf>
    <xf numFmtId="0" fontId="74" fillId="0" borderId="41" xfId="0" applyFont="1" applyBorder="1" applyAlignment="1">
      <alignment horizontal="left" vertical="top" wrapText="1"/>
    </xf>
    <xf numFmtId="0" fontId="2" fillId="0" borderId="0" xfId="0" applyFont="1" applyAlignment="1">
      <alignment horizontal="left" wrapText="1"/>
    </xf>
    <xf numFmtId="0" fontId="3" fillId="0" borderId="0" xfId="3" applyAlignment="1">
      <alignment horizontal="left"/>
    </xf>
    <xf numFmtId="0" fontId="13" fillId="0" borderId="9" xfId="0" applyFont="1" applyBorder="1" applyAlignment="1">
      <alignment horizontal="center"/>
    </xf>
    <xf numFmtId="2" fontId="2" fillId="0" borderId="6" xfId="0" applyNumberFormat="1" applyFont="1" applyBorder="1" applyAlignment="1">
      <alignment horizontal="right" indent="2"/>
    </xf>
    <xf numFmtId="2" fontId="2" fillId="0" borderId="13" xfId="0" applyNumberFormat="1" applyFont="1" applyBorder="1" applyAlignment="1">
      <alignment horizontal="right" indent="2"/>
    </xf>
    <xf numFmtId="168" fontId="59" fillId="0" borderId="6" xfId="0" applyNumberFormat="1" applyFont="1" applyBorder="1" applyAlignment="1">
      <alignment horizontal="right" indent="2"/>
    </xf>
    <xf numFmtId="168" fontId="59" fillId="0" borderId="13" xfId="0" applyNumberFormat="1" applyFont="1" applyBorder="1" applyAlignment="1">
      <alignment horizontal="right" indent="2"/>
    </xf>
    <xf numFmtId="2" fontId="59" fillId="0" borderId="6" xfId="0" applyNumberFormat="1" applyFont="1" applyBorder="1" applyAlignment="1">
      <alignment horizontal="right" indent="2"/>
    </xf>
    <xf numFmtId="2" fontId="59" fillId="0" borderId="13" xfId="0" applyNumberFormat="1" applyFont="1" applyBorder="1" applyAlignment="1">
      <alignment horizontal="right" indent="2"/>
    </xf>
    <xf numFmtId="0" fontId="59" fillId="0" borderId="6" xfId="0" applyFont="1" applyBorder="1" applyAlignment="1">
      <alignment horizontal="center"/>
    </xf>
    <xf numFmtId="0" fontId="59" fillId="0" borderId="5" xfId="0" applyFont="1" applyBorder="1" applyAlignment="1">
      <alignment horizontal="center"/>
    </xf>
    <xf numFmtId="0" fontId="59" fillId="0" borderId="13" xfId="0" applyFont="1" applyBorder="1" applyAlignment="1">
      <alignment horizontal="center"/>
    </xf>
    <xf numFmtId="9" fontId="59" fillId="0" borderId="9" xfId="0" applyNumberFormat="1" applyFont="1" applyBorder="1" applyAlignment="1" applyProtection="1">
      <alignment horizontal="center"/>
      <protection locked="0"/>
    </xf>
    <xf numFmtId="0" fontId="12" fillId="0" borderId="6" xfId="0" applyFont="1" applyBorder="1" applyAlignment="1">
      <alignment horizontal="center"/>
    </xf>
    <xf numFmtId="0" fontId="12" fillId="0" borderId="5" xfId="0" applyFont="1" applyBorder="1" applyAlignment="1">
      <alignment horizontal="center"/>
    </xf>
    <xf numFmtId="0" fontId="12" fillId="0" borderId="13" xfId="0" applyFont="1" applyBorder="1" applyAlignment="1">
      <alignment horizontal="center"/>
    </xf>
    <xf numFmtId="0" fontId="4" fillId="0" borderId="9" xfId="3" applyFont="1" applyBorder="1" applyAlignment="1" applyProtection="1">
      <alignment horizontal="left"/>
      <protection locked="0"/>
    </xf>
    <xf numFmtId="0" fontId="4" fillId="2" borderId="9" xfId="3" applyFont="1" applyFill="1" applyBorder="1" applyAlignment="1">
      <alignment horizontal="left"/>
    </xf>
    <xf numFmtId="0" fontId="0" fillId="0" borderId="9" xfId="0" applyBorder="1" applyAlignment="1">
      <alignment horizontal="left"/>
    </xf>
    <xf numFmtId="0" fontId="4" fillId="2" borderId="87" xfId="3" applyFont="1" applyFill="1" applyBorder="1" applyAlignment="1">
      <alignment horizontal="left"/>
    </xf>
    <xf numFmtId="0" fontId="0" fillId="0" borderId="87" xfId="0" applyBorder="1" applyAlignment="1">
      <alignment horizontal="left"/>
    </xf>
    <xf numFmtId="0" fontId="4" fillId="2" borderId="6" xfId="3" applyFont="1" applyFill="1" applyBorder="1" applyAlignment="1">
      <alignment horizontal="left"/>
    </xf>
    <xf numFmtId="0" fontId="0" fillId="0" borderId="13" xfId="0" applyBorder="1" applyAlignment="1">
      <alignment horizontal="left"/>
    </xf>
    <xf numFmtId="49" fontId="4" fillId="2" borderId="14" xfId="3" applyNumberFormat="1" applyFont="1" applyFill="1" applyBorder="1" applyAlignment="1">
      <alignment horizontal="center" vertical="center" wrapText="1"/>
    </xf>
    <xf numFmtId="49" fontId="4" fillId="2" borderId="15" xfId="3" applyNumberFormat="1" applyFont="1" applyFill="1" applyBorder="1" applyAlignment="1">
      <alignment horizontal="center" vertical="center" wrapText="1"/>
    </xf>
    <xf numFmtId="49" fontId="4" fillId="2" borderId="16" xfId="3" applyNumberFormat="1" applyFont="1" applyFill="1" applyBorder="1" applyAlignment="1">
      <alignment horizontal="center" vertical="center"/>
    </xf>
    <xf numFmtId="49" fontId="4" fillId="2" borderId="8" xfId="3" applyNumberFormat="1" applyFont="1" applyFill="1" applyBorder="1" applyAlignment="1">
      <alignment horizontal="center" vertical="center"/>
    </xf>
    <xf numFmtId="0" fontId="4" fillId="2" borderId="1" xfId="3" applyFont="1" applyFill="1" applyBorder="1" applyAlignment="1">
      <alignment horizontal="left" vertical="center"/>
    </xf>
    <xf numFmtId="0" fontId="4" fillId="2" borderId="14" xfId="3" applyFont="1" applyFill="1" applyBorder="1" applyAlignment="1">
      <alignment horizontal="left" vertical="center"/>
    </xf>
    <xf numFmtId="0" fontId="4" fillId="2" borderId="3" xfId="3" applyFont="1" applyFill="1" applyBorder="1" applyAlignment="1">
      <alignment horizontal="left" vertical="center"/>
    </xf>
    <xf numFmtId="0" fontId="4" fillId="2" borderId="15" xfId="3" applyFont="1" applyFill="1" applyBorder="1" applyAlignment="1">
      <alignment horizontal="left" vertical="center"/>
    </xf>
    <xf numFmtId="0" fontId="4" fillId="2" borderId="5" xfId="3" applyFont="1" applyFill="1" applyBorder="1" applyAlignment="1">
      <alignment horizontal="center"/>
    </xf>
    <xf numFmtId="0" fontId="4" fillId="2" borderId="13" xfId="3" applyFont="1" applyFill="1" applyBorder="1" applyAlignment="1">
      <alignment horizontal="center"/>
    </xf>
    <xf numFmtId="0" fontId="4" fillId="2" borderId="13" xfId="3" applyFont="1" applyFill="1" applyBorder="1" applyAlignment="1">
      <alignment horizontal="left"/>
    </xf>
    <xf numFmtId="0" fontId="4" fillId="2" borderId="6" xfId="3" applyFont="1" applyFill="1" applyBorder="1" applyAlignment="1">
      <alignment horizontal="center" wrapText="1"/>
    </xf>
    <xf numFmtId="0" fontId="4" fillId="2" borderId="13" xfId="3" applyFont="1" applyFill="1" applyBorder="1" applyAlignment="1">
      <alignment horizontal="center" wrapText="1"/>
    </xf>
    <xf numFmtId="0" fontId="5" fillId="2" borderId="7" xfId="3" applyFont="1" applyFill="1" applyBorder="1" applyAlignment="1">
      <alignment horizontal="center"/>
    </xf>
    <xf numFmtId="0" fontId="0" fillId="0" borderId="10" xfId="0" applyBorder="1"/>
    <xf numFmtId="0" fontId="4" fillId="2" borderId="6" xfId="3" applyFont="1" applyFill="1" applyBorder="1" applyAlignment="1">
      <alignment horizontal="left" wrapText="1"/>
    </xf>
    <xf numFmtId="0" fontId="4" fillId="0" borderId="6" xfId="3" applyFont="1" applyBorder="1" applyAlignment="1">
      <alignment horizontal="left"/>
    </xf>
    <xf numFmtId="0" fontId="4" fillId="2" borderId="46" xfId="3" applyFont="1" applyFill="1" applyBorder="1" applyAlignment="1">
      <alignment horizontal="center"/>
    </xf>
    <xf numFmtId="0" fontId="4" fillId="2" borderId="93" xfId="3" applyFont="1" applyFill="1" applyBorder="1" applyAlignment="1">
      <alignment horizontal="center"/>
    </xf>
    <xf numFmtId="0" fontId="4" fillId="2" borderId="84" xfId="3" applyFont="1" applyFill="1" applyBorder="1" applyAlignment="1">
      <alignment horizontal="center"/>
    </xf>
    <xf numFmtId="0" fontId="4" fillId="2" borderId="96" xfId="3" applyFont="1" applyFill="1" applyBorder="1" applyAlignment="1">
      <alignment horizontal="center"/>
    </xf>
    <xf numFmtId="0" fontId="4" fillId="2" borderId="48" xfId="3" applyFont="1" applyFill="1" applyBorder="1" applyAlignment="1">
      <alignment horizontal="center"/>
    </xf>
    <xf numFmtId="0" fontId="4" fillId="2" borderId="16" xfId="3" applyFont="1" applyFill="1" applyBorder="1" applyAlignment="1">
      <alignment horizontal="left" vertical="center"/>
    </xf>
    <xf numFmtId="0" fontId="4" fillId="2" borderId="8" xfId="3" applyFont="1" applyFill="1" applyBorder="1" applyAlignment="1">
      <alignment horizontal="left" vertical="center"/>
    </xf>
    <xf numFmtId="0" fontId="4" fillId="2" borderId="6" xfId="3" applyFont="1" applyFill="1" applyBorder="1" applyAlignment="1">
      <alignment horizontal="center"/>
    </xf>
    <xf numFmtId="0" fontId="53" fillId="0" borderId="49" xfId="0" applyFont="1" applyBorder="1" applyAlignment="1">
      <alignment horizontal="left" vertical="center"/>
    </xf>
    <xf numFmtId="0" fontId="53" fillId="0" borderId="9" xfId="0" applyFont="1" applyBorder="1" applyAlignment="1">
      <alignment horizontal="left" vertical="center"/>
    </xf>
    <xf numFmtId="0" fontId="53" fillId="0" borderId="56" xfId="0" applyFont="1" applyBorder="1" applyAlignment="1">
      <alignment horizontal="center" wrapText="1"/>
    </xf>
    <xf numFmtId="0" fontId="53" fillId="0" borderId="90" xfId="0" applyFont="1" applyBorder="1" applyAlignment="1">
      <alignment horizontal="center" wrapText="1"/>
    </xf>
    <xf numFmtId="0" fontId="53" fillId="0" borderId="21" xfId="0" applyFont="1" applyBorder="1" applyAlignment="1">
      <alignment horizontal="center" wrapText="1"/>
    </xf>
    <xf numFmtId="0" fontId="53" fillId="0" borderId="9" xfId="0" applyFont="1" applyBorder="1" applyAlignment="1">
      <alignment horizontal="center" vertical="center" wrapText="1"/>
    </xf>
    <xf numFmtId="0" fontId="53" fillId="0" borderId="19"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49" xfId="0" applyFont="1" applyBorder="1" applyAlignment="1">
      <alignment horizontal="center" vertical="center" wrapText="1"/>
    </xf>
    <xf numFmtId="0" fontId="53" fillId="0" borderId="22" xfId="0" applyFont="1" applyBorder="1" applyAlignment="1">
      <alignment horizontal="center" wrapText="1"/>
    </xf>
    <xf numFmtId="0" fontId="53" fillId="0" borderId="13" xfId="0" applyFont="1" applyBorder="1" applyAlignment="1">
      <alignment horizontal="center" wrapText="1"/>
    </xf>
    <xf numFmtId="0" fontId="53" fillId="0" borderId="22"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77" xfId="0" applyFont="1" applyBorder="1" applyAlignment="1">
      <alignment horizontal="center" vertical="center" wrapText="1"/>
    </xf>
    <xf numFmtId="0" fontId="14" fillId="0" borderId="0" xfId="0" applyFont="1" applyAlignment="1">
      <alignment horizontal="center" vertical="top"/>
    </xf>
    <xf numFmtId="0" fontId="0" fillId="0" borderId="0" xfId="0"/>
    <xf numFmtId="0" fontId="4" fillId="2" borderId="9" xfId="3" applyFont="1" applyFill="1" applyBorder="1" applyAlignment="1">
      <alignment horizontal="center"/>
    </xf>
    <xf numFmtId="164" fontId="4" fillId="0" borderId="6" xfId="3" applyNumberFormat="1" applyFont="1" applyBorder="1" applyProtection="1">
      <protection locked="0"/>
    </xf>
    <xf numFmtId="0" fontId="18" fillId="0" borderId="5" xfId="0" applyFont="1" applyBorder="1" applyProtection="1">
      <protection locked="0"/>
    </xf>
    <xf numFmtId="0" fontId="18" fillId="0" borderId="13" xfId="0" applyFont="1" applyBorder="1" applyProtection="1">
      <protection locked="0"/>
    </xf>
    <xf numFmtId="1" fontId="4" fillId="5" borderId="6" xfId="3" applyNumberFormat="1" applyFont="1" applyFill="1" applyBorder="1" applyAlignment="1" applyProtection="1">
      <alignment horizontal="left"/>
      <protection locked="0"/>
    </xf>
    <xf numFmtId="1" fontId="4" fillId="5" borderId="5" xfId="3" applyNumberFormat="1" applyFont="1" applyFill="1" applyBorder="1" applyAlignment="1" applyProtection="1">
      <alignment horizontal="left"/>
      <protection locked="0"/>
    </xf>
    <xf numFmtId="1" fontId="4" fillId="5" borderId="13" xfId="3" applyNumberFormat="1" applyFont="1" applyFill="1" applyBorder="1" applyAlignment="1" applyProtection="1">
      <alignment horizontal="left"/>
      <protection locked="0"/>
    </xf>
    <xf numFmtId="0" fontId="4" fillId="2" borderId="23" xfId="3" applyFont="1" applyFill="1" applyBorder="1" applyAlignment="1">
      <alignment horizontal="center" vertical="center"/>
    </xf>
    <xf numFmtId="0" fontId="4" fillId="2" borderId="95" xfId="3" applyFont="1" applyFill="1" applyBorder="1" applyAlignment="1">
      <alignment horizontal="center" vertical="center"/>
    </xf>
    <xf numFmtId="170" fontId="4" fillId="0" borderId="6" xfId="3" applyNumberFormat="1" applyFont="1" applyBorder="1" applyAlignment="1">
      <alignment horizontal="center"/>
    </xf>
    <xf numFmtId="170" fontId="4" fillId="0" borderId="5" xfId="3" applyNumberFormat="1" applyFont="1" applyBorder="1" applyAlignment="1">
      <alignment horizontal="center"/>
    </xf>
    <xf numFmtId="170" fontId="4" fillId="0" borderId="13" xfId="3" applyNumberFormat="1" applyFont="1" applyBorder="1" applyAlignment="1">
      <alignment horizontal="center"/>
    </xf>
    <xf numFmtId="0" fontId="20" fillId="0" borderId="6" xfId="0" applyFont="1" applyBorder="1" applyAlignment="1">
      <alignment horizontal="center"/>
    </xf>
    <xf numFmtId="0" fontId="20" fillId="0" borderId="5" xfId="0" applyFont="1" applyBorder="1" applyAlignment="1">
      <alignment horizontal="center"/>
    </xf>
    <xf numFmtId="0" fontId="20" fillId="0" borderId="13" xfId="0" applyFont="1" applyBorder="1" applyAlignment="1">
      <alignment horizontal="center"/>
    </xf>
    <xf numFmtId="0" fontId="20" fillId="0" borderId="9" xfId="0" applyFont="1" applyBorder="1" applyAlignment="1">
      <alignment horizontal="center"/>
    </xf>
    <xf numFmtId="0" fontId="72" fillId="0" borderId="0" xfId="0" applyFont="1" applyAlignment="1">
      <alignment horizontal="center"/>
    </xf>
    <xf numFmtId="0" fontId="65" fillId="0" borderId="6" xfId="0" applyFont="1" applyBorder="1" applyAlignment="1">
      <alignment horizontal="right"/>
    </xf>
    <xf numFmtId="0" fontId="65" fillId="0" borderId="5" xfId="0" applyFont="1" applyBorder="1" applyAlignment="1">
      <alignment horizontal="right"/>
    </xf>
    <xf numFmtId="0" fontId="65" fillId="0" borderId="13" xfId="0" applyFont="1" applyBorder="1" applyAlignment="1">
      <alignment horizontal="right"/>
    </xf>
    <xf numFmtId="0" fontId="4" fillId="0" borderId="6" xfId="0" applyFont="1" applyBorder="1" applyAlignment="1">
      <alignment horizontal="right"/>
    </xf>
    <xf numFmtId="0" fontId="4" fillId="0" borderId="5" xfId="0" applyFont="1" applyBorder="1" applyAlignment="1">
      <alignment horizontal="right"/>
    </xf>
    <xf numFmtId="0" fontId="4" fillId="0" borderId="13" xfId="0" applyFont="1" applyBorder="1" applyAlignment="1">
      <alignment horizontal="right"/>
    </xf>
    <xf numFmtId="0" fontId="53" fillId="0" borderId="53" xfId="0" applyFont="1" applyBorder="1" applyAlignment="1">
      <alignment horizontal="center" vertical="center"/>
    </xf>
    <xf numFmtId="0" fontId="53" fillId="0" borderId="54" xfId="0" applyFont="1" applyBorder="1" applyAlignment="1">
      <alignment horizontal="center" vertical="center"/>
    </xf>
    <xf numFmtId="0" fontId="53" fillId="0" borderId="18" xfId="0" applyFont="1" applyBorder="1" applyAlignment="1">
      <alignment horizontal="center" vertical="center" wrapText="1"/>
    </xf>
    <xf numFmtId="0" fontId="53" fillId="0" borderId="48" xfId="0" applyFont="1" applyBorder="1" applyAlignment="1">
      <alignment horizontal="center" vertical="center" wrapText="1"/>
    </xf>
    <xf numFmtId="0" fontId="4" fillId="0" borderId="6" xfId="0" applyFont="1" applyBorder="1" applyAlignment="1">
      <alignment horizontal="right" vertical="center" wrapText="1"/>
    </xf>
    <xf numFmtId="0" fontId="4" fillId="0" borderId="5" xfId="0" applyFont="1" applyBorder="1" applyAlignment="1">
      <alignment horizontal="right" vertical="center" wrapText="1"/>
    </xf>
    <xf numFmtId="0" fontId="4" fillId="0" borderId="13" xfId="0" applyFont="1" applyBorder="1" applyAlignment="1">
      <alignment horizontal="right" vertical="center" wrapText="1"/>
    </xf>
    <xf numFmtId="0" fontId="60" fillId="4" borderId="56" xfId="0" applyFont="1" applyFill="1" applyBorder="1" applyAlignment="1" applyProtection="1">
      <alignment horizontal="center"/>
      <protection locked="0"/>
    </xf>
    <xf numFmtId="0" fontId="60" fillId="4" borderId="21" xfId="0" applyFont="1" applyFill="1" applyBorder="1" applyAlignment="1" applyProtection="1">
      <alignment horizontal="center"/>
      <protection locked="0"/>
    </xf>
    <xf numFmtId="164" fontId="5" fillId="0" borderId="5" xfId="3" applyNumberFormat="1" applyFont="1" applyBorder="1" applyAlignment="1">
      <alignment horizontal="left"/>
    </xf>
    <xf numFmtId="164" fontId="5" fillId="0" borderId="13" xfId="3" applyNumberFormat="1" applyFont="1" applyBorder="1" applyAlignment="1">
      <alignment horizontal="left"/>
    </xf>
    <xf numFmtId="0" fontId="4" fillId="0" borderId="79" xfId="3" applyFont="1" applyBorder="1" applyAlignment="1">
      <alignment horizontal="center" vertical="center" wrapText="1"/>
    </xf>
    <xf numFmtId="0" fontId="4" fillId="0" borderId="80" xfId="3" applyFont="1" applyBorder="1" applyAlignment="1">
      <alignment horizontal="center" vertical="center" wrapText="1"/>
    </xf>
    <xf numFmtId="0" fontId="4" fillId="0" borderId="25" xfId="3" applyFont="1" applyBorder="1" applyAlignment="1">
      <alignment horizontal="center" vertical="center" wrapText="1"/>
    </xf>
    <xf numFmtId="0" fontId="4" fillId="0" borderId="26" xfId="3" applyFont="1" applyBorder="1" applyAlignment="1">
      <alignment horizontal="center" vertical="center" wrapText="1"/>
    </xf>
    <xf numFmtId="164" fontId="10" fillId="3" borderId="5" xfId="3" applyNumberFormat="1" applyFont="1" applyFill="1" applyBorder="1" applyAlignment="1" applyProtection="1">
      <alignment horizontal="left"/>
      <protection locked="0"/>
    </xf>
    <xf numFmtId="164" fontId="10" fillId="3" borderId="13" xfId="3" applyNumberFormat="1" applyFont="1" applyFill="1" applyBorder="1" applyAlignment="1" applyProtection="1">
      <alignment horizontal="left"/>
      <protection locked="0"/>
    </xf>
    <xf numFmtId="0" fontId="18" fillId="0" borderId="6" xfId="0" applyFont="1" applyBorder="1" applyAlignment="1">
      <alignment horizontal="center"/>
    </xf>
    <xf numFmtId="0" fontId="18" fillId="0" borderId="5" xfId="0" applyFont="1" applyBorder="1" applyAlignment="1">
      <alignment horizontal="center"/>
    </xf>
    <xf numFmtId="0" fontId="18" fillId="0" borderId="13" xfId="0" applyFont="1" applyBorder="1" applyAlignment="1">
      <alignment horizontal="center"/>
    </xf>
    <xf numFmtId="0" fontId="4" fillId="0" borderId="1" xfId="3" applyFont="1" applyBorder="1" applyAlignment="1">
      <alignment horizontal="center" wrapText="1"/>
    </xf>
    <xf numFmtId="0" fontId="4" fillId="0" borderId="7" xfId="3" applyFont="1" applyBorder="1" applyAlignment="1">
      <alignment horizontal="center" wrapText="1"/>
    </xf>
    <xf numFmtId="0" fontId="4" fillId="0" borderId="76" xfId="3" applyFont="1" applyBorder="1" applyAlignment="1" applyProtection="1">
      <alignment horizontal="center" wrapText="1"/>
      <protection locked="0"/>
    </xf>
    <xf numFmtId="0" fontId="4" fillId="0" borderId="59" xfId="3" applyFont="1" applyBorder="1" applyAlignment="1" applyProtection="1">
      <alignment horizontal="center" wrapText="1"/>
      <protection locked="0"/>
    </xf>
    <xf numFmtId="0" fontId="4" fillId="0" borderId="50" xfId="3" applyFont="1" applyBorder="1" applyAlignment="1" applyProtection="1">
      <alignment horizontal="center" wrapText="1"/>
      <protection locked="0"/>
    </xf>
    <xf numFmtId="0" fontId="4" fillId="0" borderId="25" xfId="3" applyFont="1" applyBorder="1" applyAlignment="1" applyProtection="1">
      <alignment horizontal="center" wrapText="1"/>
      <protection locked="0"/>
    </xf>
    <xf numFmtId="0" fontId="4" fillId="0" borderId="51" xfId="3" applyFont="1" applyBorder="1" applyAlignment="1" applyProtection="1">
      <alignment horizontal="center" wrapText="1"/>
      <protection locked="0"/>
    </xf>
    <xf numFmtId="0" fontId="4" fillId="0" borderId="26" xfId="3" applyFont="1" applyBorder="1" applyAlignment="1" applyProtection="1">
      <alignment horizontal="center" wrapText="1"/>
      <protection locked="0"/>
    </xf>
    <xf numFmtId="0" fontId="5" fillId="0" borderId="53" xfId="3" applyFont="1" applyBorder="1" applyAlignment="1">
      <alignment horizontal="center" vertical="center"/>
    </xf>
    <xf numFmtId="0" fontId="5" fillId="0" borderId="54" xfId="3" applyFont="1" applyBorder="1" applyAlignment="1">
      <alignment horizontal="center" vertical="center"/>
    </xf>
    <xf numFmtId="0" fontId="5" fillId="0" borderId="73" xfId="3" applyFont="1" applyBorder="1" applyAlignment="1">
      <alignment horizontal="center" vertical="center"/>
    </xf>
    <xf numFmtId="0" fontId="5" fillId="0" borderId="74" xfId="3" applyFont="1" applyBorder="1" applyAlignment="1">
      <alignment horizontal="center" vertical="center"/>
    </xf>
    <xf numFmtId="0" fontId="4" fillId="0" borderId="2" xfId="3" applyFont="1" applyBorder="1" applyAlignment="1" applyProtection="1">
      <alignment horizontal="center" wrapText="1"/>
      <protection locked="0"/>
    </xf>
    <xf numFmtId="0" fontId="4" fillId="0" borderId="4" xfId="3" applyFont="1" applyBorder="1" applyAlignment="1" applyProtection="1">
      <alignment horizontal="center" wrapText="1"/>
      <protection locked="0"/>
    </xf>
    <xf numFmtId="0" fontId="4" fillId="0" borderId="57" xfId="3" applyFont="1" applyBorder="1" applyAlignment="1">
      <alignment horizontal="center" wrapText="1"/>
    </xf>
    <xf numFmtId="0" fontId="4" fillId="0" borderId="73" xfId="3" applyFont="1" applyBorder="1" applyAlignment="1">
      <alignment horizontal="center" wrapText="1"/>
    </xf>
    <xf numFmtId="49" fontId="4" fillId="0" borderId="0" xfId="3" applyNumberFormat="1" applyFont="1" applyAlignment="1">
      <alignment horizontal="left"/>
    </xf>
    <xf numFmtId="0" fontId="4" fillId="0" borderId="16" xfId="3" applyFont="1" applyBorder="1" applyAlignment="1">
      <alignment horizontal="center" vertical="center"/>
    </xf>
    <xf numFmtId="0" fontId="4" fillId="0" borderId="17" xfId="3" applyFont="1" applyBorder="1" applyAlignment="1">
      <alignment horizontal="center" vertical="center"/>
    </xf>
    <xf numFmtId="0" fontId="4" fillId="0" borderId="8" xfId="3" applyFont="1" applyBorder="1" applyAlignment="1">
      <alignment horizontal="center" vertical="center"/>
    </xf>
    <xf numFmtId="0" fontId="4" fillId="0" borderId="1" xfId="3" applyFont="1" applyBorder="1" applyAlignment="1">
      <alignment horizontal="center" vertical="center" wrapText="1"/>
    </xf>
    <xf numFmtId="0" fontId="4" fillId="0" borderId="7" xfId="3" applyFont="1" applyBorder="1" applyAlignment="1">
      <alignment horizontal="center" vertical="center" wrapText="1"/>
    </xf>
    <xf numFmtId="0" fontId="4" fillId="0" borderId="3" xfId="3" applyFont="1" applyBorder="1" applyAlignment="1">
      <alignment horizontal="center" vertical="center" wrapText="1"/>
    </xf>
    <xf numFmtId="0" fontId="5" fillId="0" borderId="53" xfId="3" applyFont="1" applyBorder="1" applyAlignment="1">
      <alignment horizontal="center" vertical="center" wrapText="1"/>
    </xf>
    <xf numFmtId="0" fontId="5" fillId="0" borderId="54" xfId="3" applyFont="1" applyBorder="1" applyAlignment="1">
      <alignment horizontal="center" vertical="center" wrapText="1"/>
    </xf>
    <xf numFmtId="0" fontId="5" fillId="0" borderId="73" xfId="3" applyFont="1" applyBorder="1" applyAlignment="1">
      <alignment horizontal="center" vertical="center" wrapText="1"/>
    </xf>
    <xf numFmtId="0" fontId="5" fillId="0" borderId="74" xfId="3" applyFont="1" applyBorder="1" applyAlignment="1">
      <alignment horizontal="center" vertical="center" wrapText="1"/>
    </xf>
    <xf numFmtId="0" fontId="54" fillId="0" borderId="0" xfId="0" applyFont="1" applyAlignment="1">
      <alignment horizontal="left" vertical="top" wrapText="1"/>
    </xf>
    <xf numFmtId="0" fontId="54" fillId="0" borderId="0" xfId="0" applyFont="1" applyAlignment="1">
      <alignment horizontal="left" vertical="top"/>
    </xf>
    <xf numFmtId="0" fontId="54" fillId="0" borderId="74" xfId="0" applyFont="1" applyBorder="1" applyAlignment="1">
      <alignment horizontal="left" vertical="top"/>
    </xf>
    <xf numFmtId="164" fontId="4" fillId="0" borderId="9" xfId="3" applyNumberFormat="1" applyFont="1" applyBorder="1" applyAlignment="1">
      <alignment horizontal="right"/>
    </xf>
    <xf numFmtId="0" fontId="0" fillId="0" borderId="22" xfId="0" applyBorder="1" applyAlignment="1">
      <alignment horizontal="center"/>
    </xf>
    <xf numFmtId="0" fontId="0" fillId="0" borderId="5" xfId="0" applyBorder="1" applyAlignment="1">
      <alignment horizontal="center"/>
    </xf>
    <xf numFmtId="0" fontId="0" fillId="0" borderId="13" xfId="0" applyBorder="1" applyAlignment="1">
      <alignment horizontal="center"/>
    </xf>
    <xf numFmtId="164" fontId="5" fillId="0" borderId="22" xfId="3" applyNumberFormat="1" applyFont="1" applyBorder="1" applyAlignment="1">
      <alignment horizontal="center"/>
    </xf>
    <xf numFmtId="164" fontId="5" fillId="0" borderId="5" xfId="3" applyNumberFormat="1" applyFont="1" applyBorder="1" applyAlignment="1">
      <alignment horizontal="center"/>
    </xf>
    <xf numFmtId="164" fontId="5" fillId="0" borderId="13" xfId="3" applyNumberFormat="1" applyFont="1" applyBorder="1" applyAlignment="1">
      <alignment horizontal="center"/>
    </xf>
    <xf numFmtId="0" fontId="4" fillId="0" borderId="57" xfId="3" applyFont="1" applyBorder="1" applyAlignment="1">
      <alignment horizontal="center" vertical="center" wrapText="1"/>
    </xf>
    <xf numFmtId="0" fontId="4" fillId="0" borderId="2"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73" xfId="3" applyFont="1" applyBorder="1" applyAlignment="1">
      <alignment horizontal="center" vertical="center" wrapText="1"/>
    </xf>
    <xf numFmtId="0" fontId="4" fillId="0" borderId="0" xfId="3" applyFont="1" applyAlignment="1">
      <alignment horizontal="center" vertical="center" wrapText="1"/>
    </xf>
    <xf numFmtId="0" fontId="4" fillId="0" borderId="10" xfId="3" applyFont="1" applyBorder="1" applyAlignment="1">
      <alignment horizontal="center" vertical="center" wrapText="1"/>
    </xf>
    <xf numFmtId="0" fontId="4" fillId="0" borderId="58" xfId="3" applyFont="1" applyBorder="1" applyAlignment="1">
      <alignment horizontal="center" vertical="center" wrapText="1"/>
    </xf>
    <xf numFmtId="0" fontId="4" fillId="0" borderId="82" xfId="3" applyFont="1" applyBorder="1" applyAlignment="1">
      <alignment horizontal="center" vertical="center" wrapText="1"/>
    </xf>
    <xf numFmtId="0" fontId="4" fillId="0" borderId="15" xfId="3" applyFont="1" applyBorder="1" applyAlignment="1">
      <alignment horizontal="center" vertical="center" wrapText="1"/>
    </xf>
    <xf numFmtId="0" fontId="53" fillId="0" borderId="56" xfId="0" applyFont="1" applyBorder="1" applyAlignment="1">
      <alignment horizontal="center" vertical="center" wrapText="1"/>
    </xf>
    <xf numFmtId="0" fontId="53" fillId="0" borderId="21" xfId="0" applyFont="1" applyBorder="1" applyAlignment="1">
      <alignment horizontal="center" vertical="center" wrapText="1"/>
    </xf>
    <xf numFmtId="0" fontId="14" fillId="0" borderId="79" xfId="0" applyFont="1" applyBorder="1" applyAlignment="1">
      <alignment horizontal="center" wrapText="1"/>
    </xf>
    <xf numFmtId="0" fontId="14" fillId="0" borderId="92" xfId="0" applyFont="1" applyBorder="1" applyAlignment="1">
      <alignment horizontal="center" wrapText="1"/>
    </xf>
    <xf numFmtId="0" fontId="14" fillId="0" borderId="80" xfId="0" applyFont="1" applyBorder="1" applyAlignment="1">
      <alignment horizontal="center" wrapText="1"/>
    </xf>
    <xf numFmtId="0" fontId="53" fillId="0" borderId="22" xfId="0" applyFont="1" applyBorder="1" applyAlignment="1">
      <alignment horizontal="center" vertical="center"/>
    </xf>
    <xf numFmtId="0" fontId="53" fillId="0" borderId="13" xfId="0" applyFont="1" applyBorder="1" applyAlignment="1">
      <alignment horizontal="center" vertical="center"/>
    </xf>
    <xf numFmtId="0" fontId="20" fillId="0" borderId="80"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9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25" xfId="0" applyFont="1" applyBorder="1" applyAlignment="1">
      <alignment horizontal="center" vertical="center" wrapText="1"/>
    </xf>
    <xf numFmtId="0" fontId="4" fillId="0" borderId="60" xfId="3" applyFont="1" applyBorder="1" applyAlignment="1">
      <alignment horizontal="center" wrapText="1"/>
    </xf>
    <xf numFmtId="0" fontId="4" fillId="0" borderId="59" xfId="3" applyFont="1" applyBorder="1" applyAlignment="1">
      <alignment horizontal="center" wrapText="1"/>
    </xf>
    <xf numFmtId="0" fontId="4" fillId="0" borderId="53" xfId="3" applyFont="1" applyBorder="1" applyAlignment="1">
      <alignment horizontal="center" vertical="center" wrapText="1"/>
    </xf>
    <xf numFmtId="0" fontId="4" fillId="0" borderId="54" xfId="3" applyFont="1" applyBorder="1" applyAlignment="1">
      <alignment horizontal="center" vertical="center" wrapText="1"/>
    </xf>
    <xf numFmtId="0" fontId="4" fillId="0" borderId="55" xfId="3" applyFont="1" applyBorder="1" applyAlignment="1">
      <alignment horizontal="center" vertical="center" wrapText="1"/>
    </xf>
    <xf numFmtId="0" fontId="4" fillId="0" borderId="6" xfId="3" applyFont="1" applyBorder="1" applyAlignment="1" applyProtection="1">
      <alignment horizontal="left"/>
      <protection locked="0"/>
    </xf>
    <xf numFmtId="0" fontId="4" fillId="0" borderId="5" xfId="3" applyFont="1" applyBorder="1" applyAlignment="1" applyProtection="1">
      <alignment horizontal="left"/>
      <protection locked="0"/>
    </xf>
    <xf numFmtId="10" fontId="4" fillId="0" borderId="76" xfId="3" applyNumberFormat="1" applyFont="1" applyBorder="1" applyAlignment="1" applyProtection="1">
      <alignment horizontal="center" wrapText="1"/>
      <protection locked="0"/>
    </xf>
    <xf numFmtId="10" fontId="4" fillId="0" borderId="59" xfId="3" applyNumberFormat="1" applyFont="1" applyBorder="1" applyAlignment="1" applyProtection="1">
      <alignment horizontal="center" wrapText="1"/>
      <protection locked="0"/>
    </xf>
    <xf numFmtId="0" fontId="5" fillId="0" borderId="18" xfId="3" applyFont="1" applyBorder="1" applyAlignment="1">
      <alignment horizontal="center" vertical="center"/>
    </xf>
    <xf numFmtId="0" fontId="5" fillId="0" borderId="48" xfId="3" applyFont="1" applyBorder="1" applyAlignment="1">
      <alignment horizontal="center" vertical="center"/>
    </xf>
    <xf numFmtId="0" fontId="5" fillId="0" borderId="18" xfId="3" applyFont="1" applyBorder="1" applyAlignment="1">
      <alignment horizontal="center" wrapText="1"/>
    </xf>
    <xf numFmtId="0" fontId="5" fillId="0" borderId="48" xfId="3" applyFont="1" applyBorder="1" applyAlignment="1">
      <alignment horizontal="center" wrapText="1"/>
    </xf>
    <xf numFmtId="0" fontId="53" fillId="0" borderId="84" xfId="0" applyFont="1" applyBorder="1" applyAlignment="1">
      <alignment horizontal="center" vertical="center"/>
    </xf>
    <xf numFmtId="0" fontId="53" fillId="0" borderId="93" xfId="0" applyFont="1" applyBorder="1" applyAlignment="1">
      <alignment horizontal="center" vertical="center" wrapText="1"/>
    </xf>
    <xf numFmtId="0" fontId="5" fillId="0" borderId="0" xfId="0" applyFont="1" applyAlignment="1">
      <alignment horizontal="center"/>
    </xf>
    <xf numFmtId="0" fontId="4" fillId="0" borderId="60" xfId="3" applyFont="1" applyBorder="1" applyAlignment="1">
      <alignment horizontal="center" vertical="center" wrapText="1"/>
    </xf>
    <xf numFmtId="0" fontId="4" fillId="0" borderId="59" xfId="3" applyFont="1" applyBorder="1" applyAlignment="1">
      <alignment horizontal="center" vertical="center" wrapText="1"/>
    </xf>
    <xf numFmtId="0" fontId="5" fillId="0" borderId="58" xfId="3" applyFont="1" applyBorder="1" applyAlignment="1">
      <alignment horizontal="center" vertical="center"/>
    </xf>
    <xf numFmtId="0" fontId="5" fillId="0" borderId="55" xfId="3" applyFont="1" applyBorder="1" applyAlignment="1">
      <alignment horizontal="center" vertical="center"/>
    </xf>
    <xf numFmtId="0" fontId="5" fillId="0" borderId="84" xfId="3" applyFont="1" applyBorder="1" applyAlignment="1">
      <alignment horizontal="center" vertical="center" wrapText="1"/>
    </xf>
    <xf numFmtId="0" fontId="5" fillId="0" borderId="0" xfId="3" applyFont="1" applyAlignment="1">
      <alignment horizontal="center" vertical="center"/>
    </xf>
    <xf numFmtId="164" fontId="5" fillId="0" borderId="6" xfId="3" applyNumberFormat="1" applyFont="1" applyBorder="1" applyAlignment="1">
      <alignment horizontal="right"/>
    </xf>
    <xf numFmtId="164" fontId="5" fillId="0" borderId="5" xfId="3" applyNumberFormat="1" applyFont="1" applyBorder="1" applyAlignment="1">
      <alignment horizontal="right"/>
    </xf>
    <xf numFmtId="164" fontId="5" fillId="0" borderId="13" xfId="3" applyNumberFormat="1" applyFont="1" applyBorder="1" applyAlignment="1">
      <alignment horizontal="right"/>
    </xf>
    <xf numFmtId="164" fontId="10" fillId="42" borderId="5" xfId="3" applyNumberFormat="1" applyFont="1" applyFill="1" applyBorder="1" applyAlignment="1" applyProtection="1">
      <alignment horizontal="left"/>
      <protection locked="0"/>
    </xf>
    <xf numFmtId="164" fontId="10" fillId="42" borderId="13" xfId="3" applyNumberFormat="1" applyFont="1" applyFill="1" applyBorder="1" applyAlignment="1" applyProtection="1">
      <alignment horizontal="left"/>
      <protection locked="0"/>
    </xf>
    <xf numFmtId="0" fontId="71" fillId="0" borderId="6" xfId="3" applyFont="1" applyBorder="1" applyAlignment="1" applyProtection="1">
      <alignment horizontal="center"/>
      <protection locked="0"/>
    </xf>
    <xf numFmtId="0" fontId="71" fillId="0" borderId="5" xfId="3" applyFont="1" applyBorder="1" applyAlignment="1" applyProtection="1">
      <alignment horizontal="center"/>
      <protection locked="0"/>
    </xf>
    <xf numFmtId="0" fontId="71" fillId="0" borderId="13" xfId="3" applyFont="1" applyBorder="1" applyAlignment="1" applyProtection="1">
      <alignment horizontal="center"/>
      <protection locked="0"/>
    </xf>
    <xf numFmtId="0" fontId="4" fillId="0" borderId="5" xfId="3" applyFont="1" applyBorder="1" applyAlignment="1">
      <alignment horizontal="left"/>
    </xf>
    <xf numFmtId="0" fontId="4" fillId="0" borderId="13" xfId="3" applyFont="1" applyBorder="1" applyAlignment="1">
      <alignment horizontal="left"/>
    </xf>
    <xf numFmtId="0" fontId="4" fillId="0" borderId="9" xfId="0" applyFont="1" applyBorder="1" applyAlignment="1">
      <alignment horizontal="center"/>
    </xf>
    <xf numFmtId="0" fontId="4" fillId="0" borderId="13" xfId="3" applyFont="1" applyBorder="1" applyAlignment="1" applyProtection="1">
      <alignment horizontal="left"/>
      <protection locked="0"/>
    </xf>
    <xf numFmtId="0" fontId="4" fillId="0" borderId="1" xfId="3" applyFont="1" applyBorder="1" applyAlignment="1">
      <alignment horizontal="center" vertical="center"/>
    </xf>
    <xf numFmtId="0" fontId="4" fillId="0" borderId="3" xfId="3" applyFont="1" applyBorder="1" applyAlignment="1">
      <alignment horizontal="center" vertical="center"/>
    </xf>
    <xf numFmtId="0" fontId="76" fillId="0" borderId="6" xfId="3" applyFont="1" applyBorder="1" applyAlignment="1" applyProtection="1">
      <alignment horizontal="left"/>
      <protection locked="0"/>
    </xf>
    <xf numFmtId="0" fontId="76" fillId="0" borderId="5" xfId="3" applyFont="1" applyBorder="1" applyAlignment="1" applyProtection="1">
      <alignment horizontal="left"/>
      <protection locked="0"/>
    </xf>
    <xf numFmtId="0" fontId="71" fillId="0" borderId="9" xfId="3" applyFont="1" applyBorder="1" applyAlignment="1" applyProtection="1">
      <alignment horizontal="center"/>
      <protection locked="0"/>
    </xf>
    <xf numFmtId="168" fontId="10" fillId="47" borderId="6" xfId="3" applyNumberFormat="1" applyFont="1" applyFill="1" applyBorder="1" applyAlignment="1" applyProtection="1">
      <alignment horizontal="right"/>
      <protection locked="0"/>
    </xf>
    <xf numFmtId="168" fontId="10" fillId="47" borderId="5" xfId="3" applyNumberFormat="1" applyFont="1" applyFill="1" applyBorder="1" applyAlignment="1" applyProtection="1">
      <alignment horizontal="right"/>
      <protection locked="0"/>
    </xf>
    <xf numFmtId="0" fontId="71" fillId="0" borderId="6" xfId="0" applyFont="1" applyBorder="1" applyAlignment="1">
      <alignment horizontal="center"/>
    </xf>
    <xf numFmtId="0" fontId="71" fillId="0" borderId="5" xfId="0" applyFont="1" applyBorder="1" applyAlignment="1">
      <alignment horizontal="center"/>
    </xf>
    <xf numFmtId="0" fontId="71" fillId="0" borderId="13" xfId="0" applyFont="1" applyBorder="1" applyAlignment="1">
      <alignment horizontal="center"/>
    </xf>
    <xf numFmtId="0" fontId="4" fillId="0" borderId="16" xfId="3" applyFont="1" applyBorder="1" applyAlignment="1" applyProtection="1">
      <alignment horizontal="left"/>
      <protection locked="0"/>
    </xf>
    <xf numFmtId="0" fontId="4" fillId="2" borderId="13" xfId="3" applyFont="1" applyFill="1" applyBorder="1" applyAlignment="1">
      <alignment horizontal="left" wrapText="1"/>
    </xf>
    <xf numFmtId="0" fontId="4" fillId="2" borderId="9" xfId="3" applyFont="1" applyFill="1" applyBorder="1" applyAlignment="1">
      <alignment horizontal="center" wrapText="1"/>
    </xf>
    <xf numFmtId="0" fontId="4" fillId="2" borderId="5"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6" xfId="3" applyFont="1" applyFill="1" applyBorder="1" applyAlignment="1">
      <alignment horizontal="center" vertical="center"/>
    </xf>
    <xf numFmtId="0" fontId="4" fillId="2" borderId="17" xfId="3" applyFont="1" applyFill="1" applyBorder="1" applyAlignment="1">
      <alignment horizontal="center" vertical="center"/>
    </xf>
    <xf numFmtId="0" fontId="4" fillId="2" borderId="8" xfId="3" applyFont="1" applyFill="1" applyBorder="1" applyAlignment="1">
      <alignment horizontal="center" vertical="center"/>
    </xf>
    <xf numFmtId="0" fontId="70" fillId="4" borderId="6" xfId="0" applyFont="1" applyFill="1" applyBorder="1" applyProtection="1">
      <protection locked="0"/>
    </xf>
    <xf numFmtId="0" fontId="70" fillId="4" borderId="5" xfId="0" applyFont="1" applyFill="1" applyBorder="1" applyProtection="1">
      <protection locked="0"/>
    </xf>
    <xf numFmtId="0" fontId="70" fillId="4" borderId="13" xfId="0" applyFont="1" applyFill="1" applyBorder="1" applyProtection="1">
      <protection locked="0"/>
    </xf>
    <xf numFmtId="0" fontId="73" fillId="0" borderId="6" xfId="0" applyFont="1" applyBorder="1"/>
    <xf numFmtId="0" fontId="73" fillId="0" borderId="5" xfId="0" applyFont="1" applyBorder="1"/>
    <xf numFmtId="0" fontId="73" fillId="0" borderId="13" xfId="0" applyFont="1" applyBorder="1"/>
    <xf numFmtId="164" fontId="4" fillId="0" borderId="6" xfId="3" applyNumberFormat="1" applyFont="1" applyBorder="1"/>
    <xf numFmtId="0" fontId="18" fillId="0" borderId="5" xfId="0" applyFont="1" applyBorder="1"/>
    <xf numFmtId="0" fontId="18" fillId="0" borderId="13" xfId="0" applyFont="1" applyBorder="1"/>
    <xf numFmtId="0" fontId="73" fillId="0" borderId="9" xfId="0" applyFont="1" applyBorder="1" applyAlignment="1">
      <alignment horizontal="left"/>
    </xf>
    <xf numFmtId="0" fontId="4" fillId="2" borderId="16" xfId="3" applyFont="1" applyFill="1" applyBorder="1" applyAlignment="1">
      <alignment horizontal="center" vertical="center" wrapText="1"/>
    </xf>
    <xf numFmtId="170" fontId="5" fillId="0" borderId="16" xfId="3" applyNumberFormat="1" applyFont="1" applyBorder="1" applyAlignment="1">
      <alignment horizontal="right"/>
    </xf>
    <xf numFmtId="170" fontId="5" fillId="0" borderId="8" xfId="3" applyNumberFormat="1" applyFont="1" applyBorder="1" applyAlignment="1">
      <alignment horizontal="right"/>
    </xf>
    <xf numFmtId="0" fontId="20" fillId="0" borderId="1" xfId="0" applyFont="1" applyBorder="1" applyAlignment="1">
      <alignment horizontal="left" vertical="center"/>
    </xf>
    <xf numFmtId="0" fontId="20" fillId="0" borderId="14" xfId="0" applyFont="1" applyBorder="1" applyAlignment="1">
      <alignment horizontal="left" vertical="center"/>
    </xf>
    <xf numFmtId="0" fontId="20" fillId="0" borderId="3" xfId="0" applyFont="1" applyBorder="1" applyAlignment="1">
      <alignment horizontal="left" vertical="center"/>
    </xf>
    <xf numFmtId="0" fontId="20" fillId="0" borderId="15" xfId="0" applyFont="1" applyBorder="1" applyAlignment="1">
      <alignment horizontal="left" vertical="center"/>
    </xf>
    <xf numFmtId="0" fontId="20" fillId="0" borderId="16"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5" xfId="0" applyFont="1" applyBorder="1" applyAlignment="1">
      <alignment horizontal="center" vertical="center" wrapText="1"/>
    </xf>
    <xf numFmtId="0" fontId="1" fillId="0" borderId="0" xfId="0" applyFont="1" applyAlignment="1">
      <alignment horizontal="center" vertical="center"/>
    </xf>
    <xf numFmtId="164" fontId="4" fillId="0" borderId="9" xfId="3" applyNumberFormat="1" applyFont="1" applyBorder="1"/>
    <xf numFmtId="0" fontId="18" fillId="0" borderId="9" xfId="0" applyFont="1" applyBorder="1"/>
    <xf numFmtId="0" fontId="4" fillId="2" borderId="2" xfId="3" applyFont="1" applyFill="1" applyBorder="1" applyAlignment="1">
      <alignment horizontal="center"/>
    </xf>
    <xf numFmtId="0" fontId="4" fillId="2" borderId="1" xfId="3" applyFont="1" applyFill="1" applyBorder="1" applyAlignment="1">
      <alignment horizontal="center"/>
    </xf>
    <xf numFmtId="0" fontId="4" fillId="2" borderId="8" xfId="3" applyFont="1" applyFill="1" applyBorder="1" applyAlignment="1">
      <alignment horizontal="center" vertical="center" wrapText="1"/>
    </xf>
    <xf numFmtId="0" fontId="4" fillId="2" borderId="1"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15" xfId="3" applyFont="1" applyFill="1" applyBorder="1" applyAlignment="1">
      <alignment horizontal="center" vertical="center"/>
    </xf>
    <xf numFmtId="49" fontId="4" fillId="2" borderId="16" xfId="3" applyNumberFormat="1" applyFont="1" applyFill="1" applyBorder="1" applyAlignment="1">
      <alignment horizontal="left" vertical="center"/>
    </xf>
    <xf numFmtId="49" fontId="4" fillId="2" borderId="17" xfId="3" applyNumberFormat="1" applyFont="1" applyFill="1" applyBorder="1" applyAlignment="1">
      <alignment horizontal="left" vertical="center"/>
    </xf>
    <xf numFmtId="49" fontId="4" fillId="2" borderId="8" xfId="3" applyNumberFormat="1" applyFont="1" applyFill="1" applyBorder="1" applyAlignment="1">
      <alignment horizontal="left" vertical="center"/>
    </xf>
    <xf numFmtId="0" fontId="4" fillId="2" borderId="17" xfId="3" applyFont="1" applyFill="1" applyBorder="1" applyAlignment="1">
      <alignment horizontal="left" vertical="center"/>
    </xf>
    <xf numFmtId="164" fontId="10" fillId="4" borderId="6" xfId="3" applyNumberFormat="1" applyFont="1" applyFill="1" applyBorder="1" applyAlignment="1" applyProtection="1">
      <alignment horizontal="right" indent="1"/>
      <protection locked="0"/>
    </xf>
    <xf numFmtId="164" fontId="10" fillId="4" borderId="5" xfId="3" applyNumberFormat="1" applyFont="1" applyFill="1" applyBorder="1" applyAlignment="1" applyProtection="1">
      <alignment horizontal="right" indent="1"/>
      <protection locked="0"/>
    </xf>
    <xf numFmtId="164" fontId="10" fillId="4" borderId="9" xfId="3" applyNumberFormat="1" applyFont="1" applyFill="1" applyBorder="1" applyAlignment="1" applyProtection="1">
      <alignment horizontal="right" indent="1"/>
      <protection locked="0"/>
    </xf>
    <xf numFmtId="0" fontId="5" fillId="2" borderId="6" xfId="3" applyFont="1" applyFill="1" applyBorder="1" applyAlignment="1">
      <alignment horizontal="center"/>
    </xf>
    <xf numFmtId="0" fontId="5" fillId="2" borderId="13" xfId="3" applyFont="1" applyFill="1" applyBorder="1" applyAlignment="1">
      <alignment horizontal="center"/>
    </xf>
    <xf numFmtId="0" fontId="4" fillId="2" borderId="16" xfId="3" applyFont="1" applyFill="1" applyBorder="1" applyAlignment="1">
      <alignment vertical="center"/>
    </xf>
    <xf numFmtId="0" fontId="4" fillId="2" borderId="17" xfId="3" applyFont="1" applyFill="1" applyBorder="1" applyAlignment="1">
      <alignment vertical="center"/>
    </xf>
    <xf numFmtId="0" fontId="4" fillId="2" borderId="8" xfId="3" applyFont="1" applyFill="1" applyBorder="1" applyAlignment="1">
      <alignment vertical="center"/>
    </xf>
    <xf numFmtId="0" fontId="4" fillId="2" borderId="2" xfId="3" applyFont="1" applyFill="1" applyBorder="1" applyAlignment="1">
      <alignment horizontal="center" vertical="center"/>
    </xf>
    <xf numFmtId="0" fontId="4" fillId="2" borderId="9" xfId="3" applyFont="1" applyFill="1" applyBorder="1" applyAlignment="1">
      <alignment horizontal="center" vertical="center"/>
    </xf>
    <xf numFmtId="0" fontId="70" fillId="4" borderId="6" xfId="0" applyFont="1" applyFill="1" applyBorder="1"/>
    <xf numFmtId="0" fontId="70" fillId="4" borderId="5" xfId="0" applyFont="1" applyFill="1" applyBorder="1"/>
    <xf numFmtId="0" fontId="70" fillId="4" borderId="13" xfId="0" applyFont="1" applyFill="1" applyBorder="1"/>
    <xf numFmtId="0" fontId="73" fillId="0" borderId="6" xfId="0" applyFont="1" applyBorder="1" applyAlignment="1">
      <alignment horizontal="left"/>
    </xf>
    <xf numFmtId="0" fontId="73" fillId="0" borderId="5" xfId="0" applyFont="1" applyBorder="1" applyAlignment="1">
      <alignment horizontal="left"/>
    </xf>
    <xf numFmtId="0" fontId="73" fillId="0" borderId="13" xfId="0" applyFont="1" applyBorder="1" applyAlignment="1">
      <alignment horizontal="left"/>
    </xf>
    <xf numFmtId="0" fontId="4" fillId="2" borderId="17" xfId="3" applyFont="1" applyFill="1" applyBorder="1" applyAlignment="1">
      <alignment horizontal="center" vertical="center" wrapText="1"/>
    </xf>
    <xf numFmtId="164" fontId="4" fillId="0" borderId="5" xfId="3" applyNumberFormat="1" applyFont="1" applyBorder="1"/>
    <xf numFmtId="164" fontId="4" fillId="0" borderId="13" xfId="3" applyNumberFormat="1" applyFont="1" applyBorder="1"/>
    <xf numFmtId="0" fontId="79" fillId="48" borderId="27" xfId="0" applyFont="1" applyFill="1" applyBorder="1" applyAlignment="1">
      <alignment horizontal="center" vertical="center" wrapText="1"/>
    </xf>
    <xf numFmtId="0" fontId="79" fillId="48" borderId="88" xfId="0" applyFont="1" applyFill="1" applyBorder="1" applyAlignment="1">
      <alignment horizontal="center" vertical="center"/>
    </xf>
    <xf numFmtId="0" fontId="79" fillId="48" borderId="89" xfId="0" applyFont="1" applyFill="1" applyBorder="1" applyAlignment="1">
      <alignment horizontal="center" vertical="center"/>
    </xf>
    <xf numFmtId="0" fontId="78" fillId="48" borderId="49" xfId="0" applyFont="1" applyFill="1" applyBorder="1" applyAlignment="1">
      <alignment horizontal="left" vertical="center" wrapText="1"/>
    </xf>
    <xf numFmtId="0" fontId="78" fillId="48" borderId="9" xfId="0" applyFont="1" applyFill="1" applyBorder="1" applyAlignment="1">
      <alignment horizontal="center" vertical="center" wrapText="1"/>
    </xf>
    <xf numFmtId="0" fontId="81" fillId="48" borderId="47" xfId="0" applyFont="1" applyFill="1" applyBorder="1" applyAlignment="1">
      <alignment horizontal="left" vertical="center" wrapText="1"/>
    </xf>
    <xf numFmtId="0" fontId="81" fillId="48" borderId="91" xfId="0" applyFont="1" applyFill="1" applyBorder="1" applyAlignment="1">
      <alignment horizontal="left" vertical="center" wrapText="1"/>
    </xf>
    <xf numFmtId="0" fontId="4" fillId="0" borderId="0" xfId="0" applyFont="1" applyAlignment="1">
      <alignment horizontal="center" vertical="center" wrapText="1"/>
    </xf>
    <xf numFmtId="170" fontId="5" fillId="0" borderId="0" xfId="3" applyNumberFormat="1" applyFont="1" applyAlignment="1">
      <alignment horizontal="right"/>
    </xf>
    <xf numFmtId="49" fontId="4" fillId="2" borderId="9" xfId="3" applyNumberFormat="1" applyFont="1" applyFill="1" applyBorder="1" applyAlignment="1">
      <alignment horizontal="left" vertical="center"/>
    </xf>
    <xf numFmtId="0" fontId="4" fillId="2" borderId="9" xfId="3" applyFont="1" applyFill="1" applyBorder="1" applyAlignment="1">
      <alignment horizontal="left" vertical="center"/>
    </xf>
    <xf numFmtId="164" fontId="4" fillId="0" borderId="6" xfId="3" applyNumberFormat="1" applyFont="1" applyBorder="1" applyAlignment="1">
      <alignment horizontal="right" indent="1"/>
    </xf>
    <xf numFmtId="164" fontId="4" fillId="0" borderId="5" xfId="3" applyNumberFormat="1" applyFont="1" applyBorder="1" applyAlignment="1">
      <alignment horizontal="right" indent="1"/>
    </xf>
    <xf numFmtId="164" fontId="4" fillId="0" borderId="9" xfId="3" applyNumberFormat="1" applyFont="1" applyBorder="1" applyAlignment="1">
      <alignment horizontal="right" indent="1"/>
    </xf>
    <xf numFmtId="0" fontId="83" fillId="2" borderId="6" xfId="3" applyFont="1" applyFill="1" applyBorder="1" applyAlignment="1">
      <alignment horizontal="left" wrapText="1"/>
    </xf>
    <xf numFmtId="0" fontId="84" fillId="0" borderId="13" xfId="0" applyFont="1" applyBorder="1" applyAlignment="1">
      <alignment horizontal="left"/>
    </xf>
    <xf numFmtId="0" fontId="13" fillId="0" borderId="6" xfId="0" applyFont="1" applyBorder="1" applyAlignment="1">
      <alignment horizontal="left" wrapText="1"/>
    </xf>
    <xf numFmtId="0" fontId="13" fillId="0" borderId="5" xfId="0" applyFont="1" applyBorder="1" applyAlignment="1">
      <alignment horizontal="left" wrapText="1"/>
    </xf>
    <xf numFmtId="0" fontId="13" fillId="0" borderId="13" xfId="0" applyFont="1" applyBorder="1" applyAlignment="1">
      <alignment horizontal="left" wrapText="1"/>
    </xf>
    <xf numFmtId="0" fontId="8" fillId="46" borderId="6" xfId="0" applyFont="1" applyFill="1" applyBorder="1" applyAlignment="1">
      <alignment horizontal="left"/>
    </xf>
    <xf numFmtId="0" fontId="8" fillId="46" borderId="5" xfId="0" applyFont="1" applyFill="1" applyBorder="1" applyAlignment="1">
      <alignment horizontal="left"/>
    </xf>
    <xf numFmtId="0" fontId="8" fillId="46" borderId="13" xfId="0" applyFont="1" applyFill="1" applyBorder="1" applyAlignment="1">
      <alignment horizontal="left"/>
    </xf>
    <xf numFmtId="0" fontId="2" fillId="11" borderId="6" xfId="3" applyFont="1" applyFill="1" applyBorder="1" applyAlignment="1">
      <alignment horizontal="left"/>
    </xf>
    <xf numFmtId="0" fontId="2" fillId="11" borderId="5" xfId="3" applyFont="1" applyFill="1" applyBorder="1" applyAlignment="1">
      <alignment horizontal="left"/>
    </xf>
    <xf numFmtId="0" fontId="2" fillId="11" borderId="13" xfId="3" applyFont="1" applyFill="1" applyBorder="1" applyAlignment="1">
      <alignment horizontal="left"/>
    </xf>
    <xf numFmtId="0" fontId="8" fillId="42" borderId="1" xfId="0" applyFont="1" applyFill="1" applyBorder="1" applyAlignment="1">
      <alignment horizontal="left"/>
    </xf>
    <xf numFmtId="0" fontId="8" fillId="42" borderId="2" xfId="0" applyFont="1" applyFill="1" applyBorder="1" applyAlignment="1">
      <alignment horizontal="left"/>
    </xf>
    <xf numFmtId="0" fontId="8" fillId="42" borderId="14" xfId="0" applyFont="1" applyFill="1" applyBorder="1" applyAlignment="1">
      <alignment horizontal="left"/>
    </xf>
    <xf numFmtId="0" fontId="8" fillId="43" borderId="6" xfId="0" applyFont="1" applyFill="1" applyBorder="1" applyAlignment="1">
      <alignment horizontal="left"/>
    </xf>
    <xf numFmtId="0" fontId="8" fillId="43" borderId="5" xfId="0" applyFont="1" applyFill="1" applyBorder="1" applyAlignment="1">
      <alignment horizontal="left"/>
    </xf>
    <xf numFmtId="0" fontId="8" fillId="43" borderId="13" xfId="0" applyFont="1" applyFill="1" applyBorder="1" applyAlignment="1">
      <alignment horizontal="left"/>
    </xf>
    <xf numFmtId="0" fontId="8" fillId="7" borderId="6" xfId="0" applyFont="1" applyFill="1" applyBorder="1" applyAlignment="1">
      <alignment horizontal="left"/>
    </xf>
    <xf numFmtId="0" fontId="8" fillId="7" borderId="5" xfId="0" applyFont="1" applyFill="1" applyBorder="1" applyAlignment="1">
      <alignment horizontal="left"/>
    </xf>
    <xf numFmtId="0" fontId="8" fillId="7" borderId="13" xfId="0" applyFont="1" applyFill="1" applyBorder="1" applyAlignment="1">
      <alignment horizontal="left"/>
    </xf>
    <xf numFmtId="164" fontId="2" fillId="44" borderId="7" xfId="3" applyNumberFormat="1" applyFont="1" applyFill="1" applyBorder="1" applyAlignment="1">
      <alignment horizontal="left"/>
    </xf>
    <xf numFmtId="164" fontId="2" fillId="44" borderId="0" xfId="3" applyNumberFormat="1" applyFont="1" applyFill="1" applyAlignment="1">
      <alignment horizontal="left"/>
    </xf>
    <xf numFmtId="164" fontId="2" fillId="44" borderId="10" xfId="3" applyNumberFormat="1" applyFont="1" applyFill="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14" xfId="0" applyFont="1" applyBorder="1" applyAlignment="1">
      <alignment horizontal="left"/>
    </xf>
    <xf numFmtId="0" fontId="2" fillId="45" borderId="6" xfId="0" applyFont="1" applyFill="1" applyBorder="1" applyAlignment="1">
      <alignment horizontal="left"/>
    </xf>
    <xf numFmtId="0" fontId="2" fillId="45" borderId="5" xfId="0" applyFont="1" applyFill="1" applyBorder="1" applyAlignment="1">
      <alignment horizontal="left"/>
    </xf>
    <xf numFmtId="0" fontId="2" fillId="45" borderId="13" xfId="0" applyFont="1" applyFill="1" applyBorder="1" applyAlignment="1">
      <alignment horizontal="left"/>
    </xf>
    <xf numFmtId="0" fontId="13" fillId="0" borderId="6" xfId="0" applyFont="1" applyBorder="1" applyAlignment="1">
      <alignment horizontal="left"/>
    </xf>
    <xf numFmtId="0" fontId="13" fillId="0" borderId="5" xfId="0" applyFont="1" applyBorder="1" applyAlignment="1">
      <alignment horizontal="left"/>
    </xf>
    <xf numFmtId="0" fontId="13" fillId="0" borderId="13" xfId="0" applyFont="1" applyBorder="1" applyAlignment="1">
      <alignment horizontal="left"/>
    </xf>
    <xf numFmtId="0" fontId="62" fillId="0" borderId="6" xfId="0" applyFont="1" applyBorder="1" applyAlignment="1">
      <alignment horizontal="left"/>
    </xf>
    <xf numFmtId="0" fontId="62" fillId="0" borderId="5" xfId="0" applyFont="1" applyBorder="1" applyAlignment="1">
      <alignment horizontal="left"/>
    </xf>
    <xf numFmtId="0" fontId="62" fillId="0" borderId="13" xfId="0" applyFont="1" applyBorder="1" applyAlignment="1">
      <alignment horizontal="left"/>
    </xf>
    <xf numFmtId="0" fontId="68" fillId="0" borderId="6" xfId="0" applyFont="1" applyBorder="1" applyAlignment="1">
      <alignment horizontal="left"/>
    </xf>
    <xf numFmtId="0" fontId="68" fillId="0" borderId="5" xfId="0" applyFont="1" applyBorder="1" applyAlignment="1">
      <alignment horizontal="left"/>
    </xf>
    <xf numFmtId="0" fontId="68" fillId="0" borderId="13" xfId="0" applyFont="1" applyBorder="1" applyAlignment="1">
      <alignment horizontal="left"/>
    </xf>
    <xf numFmtId="0" fontId="62" fillId="0" borderId="9" xfId="0" applyFont="1" applyBorder="1" applyAlignment="1">
      <alignment horizontal="left"/>
    </xf>
    <xf numFmtId="0" fontId="20" fillId="0" borderId="56" xfId="0" applyFont="1" applyBorder="1" applyAlignment="1">
      <alignment horizontal="center"/>
    </xf>
    <xf numFmtId="0" fontId="20" fillId="0" borderId="21" xfId="0" applyFont="1" applyBorder="1" applyAlignment="1">
      <alignment horizontal="center"/>
    </xf>
    <xf numFmtId="0" fontId="4" fillId="2" borderId="9" xfId="3" quotePrefix="1" applyFont="1" applyFill="1" applyBorder="1" applyAlignment="1">
      <alignment horizontal="left"/>
    </xf>
    <xf numFmtId="0" fontId="69" fillId="0" borderId="9" xfId="0" applyFont="1" applyBorder="1" applyAlignment="1">
      <alignment horizontal="left"/>
    </xf>
    <xf numFmtId="0" fontId="4" fillId="2" borderId="13" xfId="3" quotePrefix="1" applyFont="1" applyFill="1" applyBorder="1" applyAlignment="1">
      <alignment horizontal="left"/>
    </xf>
  </cellXfs>
  <cellStyles count="54">
    <cellStyle name="20 % – Zvýraznění1 2" xfId="6" xr:uid="{00000000-0005-0000-0000-000000000000}"/>
    <cellStyle name="20 % – Zvýraznění2 2" xfId="7" xr:uid="{00000000-0005-0000-0000-000001000000}"/>
    <cellStyle name="20 % – Zvýraznění3 2" xfId="8" xr:uid="{00000000-0005-0000-0000-000002000000}"/>
    <cellStyle name="20 % – Zvýraznění4 2" xfId="9" xr:uid="{00000000-0005-0000-0000-000003000000}"/>
    <cellStyle name="20 % – Zvýraznění5 2" xfId="10" xr:uid="{00000000-0005-0000-0000-000004000000}"/>
    <cellStyle name="20 % – Zvýraznění6 2" xfId="11" xr:uid="{00000000-0005-0000-0000-000005000000}"/>
    <cellStyle name="40 % – Zvýraznění1 2" xfId="12" xr:uid="{00000000-0005-0000-0000-000006000000}"/>
    <cellStyle name="40 % – Zvýraznění2 2" xfId="13" xr:uid="{00000000-0005-0000-0000-000007000000}"/>
    <cellStyle name="40 % – Zvýraznění3 2" xfId="14" xr:uid="{00000000-0005-0000-0000-000008000000}"/>
    <cellStyle name="40 % – Zvýraznění4 2" xfId="15" xr:uid="{00000000-0005-0000-0000-000009000000}"/>
    <cellStyle name="40 % – Zvýraznění5 2" xfId="16" xr:uid="{00000000-0005-0000-0000-00000A000000}"/>
    <cellStyle name="40 % – Zvýraznění6 2" xfId="17" xr:uid="{00000000-0005-0000-0000-00000B000000}"/>
    <cellStyle name="60 % – Zvýraznění1 2" xfId="18" xr:uid="{00000000-0005-0000-0000-00000C000000}"/>
    <cellStyle name="60 % – Zvýraznění2 2" xfId="19" xr:uid="{00000000-0005-0000-0000-00000D000000}"/>
    <cellStyle name="60 % – Zvýraznění3 2" xfId="20" xr:uid="{00000000-0005-0000-0000-00000E000000}"/>
    <cellStyle name="60 % – Zvýraznění4 2" xfId="21" xr:uid="{00000000-0005-0000-0000-00000F000000}"/>
    <cellStyle name="60 % – Zvýraznění5 2" xfId="22" xr:uid="{00000000-0005-0000-0000-000010000000}"/>
    <cellStyle name="60 % – Zvýraznění6 2" xfId="23" xr:uid="{00000000-0005-0000-0000-000011000000}"/>
    <cellStyle name="Celkem 2" xfId="24" xr:uid="{00000000-0005-0000-0000-000012000000}"/>
    <cellStyle name="Čárka 2" xfId="2" xr:uid="{00000000-0005-0000-0000-000013000000}"/>
    <cellStyle name="Čárka 2 2" xfId="52" xr:uid="{00000000-0005-0000-0000-000014000000}"/>
    <cellStyle name="Čárka 3" xfId="48" xr:uid="{00000000-0005-0000-0000-000015000000}"/>
    <cellStyle name="Čárka 3 2" xfId="53" xr:uid="{00000000-0005-0000-0000-000016000000}"/>
    <cellStyle name="Chybně 2" xfId="25" xr:uid="{00000000-0005-0000-0000-000017000000}"/>
    <cellStyle name="Kontrolní buňka 2" xfId="26" xr:uid="{00000000-0005-0000-0000-000018000000}"/>
    <cellStyle name="Nadpis 1 2" xfId="27" xr:uid="{00000000-0005-0000-0000-000019000000}"/>
    <cellStyle name="Nadpis 2 2" xfId="28" xr:uid="{00000000-0005-0000-0000-00001A000000}"/>
    <cellStyle name="Nadpis 3 2" xfId="29" xr:uid="{00000000-0005-0000-0000-00001B000000}"/>
    <cellStyle name="Nadpis 4 2" xfId="30" xr:uid="{00000000-0005-0000-0000-00001C000000}"/>
    <cellStyle name="Název 2" xfId="31" xr:uid="{00000000-0005-0000-0000-00001D000000}"/>
    <cellStyle name="Neutrální 2" xfId="32" xr:uid="{00000000-0005-0000-0000-00001E000000}"/>
    <cellStyle name="Normal" xfId="50" xr:uid="{00000000-0005-0000-0000-00001F000000}"/>
    <cellStyle name="Normální" xfId="0" builtinId="0"/>
    <cellStyle name="Normální 2" xfId="1" xr:uid="{00000000-0005-0000-0000-000021000000}"/>
    <cellStyle name="Normální 3" xfId="47" xr:uid="{00000000-0005-0000-0000-000022000000}"/>
    <cellStyle name="normální_export_2008_53_Všejany" xfId="3" xr:uid="{00000000-0005-0000-0000-000023000000}"/>
    <cellStyle name="normální_Sešit2" xfId="5" xr:uid="{00000000-0005-0000-0000-000024000000}"/>
    <cellStyle name="Poznámka 2" xfId="33" xr:uid="{00000000-0005-0000-0000-000025000000}"/>
    <cellStyle name="Procenta" xfId="51" builtinId="5"/>
    <cellStyle name="Procenta 2" xfId="4" xr:uid="{00000000-0005-0000-0000-000027000000}"/>
    <cellStyle name="Procenta 3" xfId="49" xr:uid="{00000000-0005-0000-0000-000028000000}"/>
    <cellStyle name="Propojená buňka 2" xfId="34" xr:uid="{00000000-0005-0000-0000-000029000000}"/>
    <cellStyle name="Správně 2" xfId="35" xr:uid="{00000000-0005-0000-0000-00002A000000}"/>
    <cellStyle name="Text upozornění 2" xfId="36" xr:uid="{00000000-0005-0000-0000-00002B000000}"/>
    <cellStyle name="Vstup 2" xfId="37" xr:uid="{00000000-0005-0000-0000-00002C000000}"/>
    <cellStyle name="Výpočet 2" xfId="38" xr:uid="{00000000-0005-0000-0000-00002D000000}"/>
    <cellStyle name="Výstup 2" xfId="39" xr:uid="{00000000-0005-0000-0000-00002E000000}"/>
    <cellStyle name="Vysvětlující text 2" xfId="40" xr:uid="{00000000-0005-0000-0000-00002F000000}"/>
    <cellStyle name="Zvýraznění 1 2" xfId="41" xr:uid="{00000000-0005-0000-0000-000030000000}"/>
    <cellStyle name="Zvýraznění 2 2" xfId="42" xr:uid="{00000000-0005-0000-0000-000031000000}"/>
    <cellStyle name="Zvýraznění 3 2" xfId="43" xr:uid="{00000000-0005-0000-0000-000032000000}"/>
    <cellStyle name="Zvýraznění 4 2" xfId="44" xr:uid="{00000000-0005-0000-0000-000033000000}"/>
    <cellStyle name="Zvýraznění 5 2" xfId="45" xr:uid="{00000000-0005-0000-0000-000034000000}"/>
    <cellStyle name="Zvýraznění 6 2" xfId="46" xr:uid="{00000000-0005-0000-0000-000035000000}"/>
  </cellStyles>
  <dxfs count="61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b/>
        <i val="0"/>
        <color rgb="FFFF0000"/>
      </font>
    </dxf>
    <dxf>
      <font>
        <b/>
        <i val="0"/>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color theme="1"/>
      </font>
      <fill>
        <patternFill>
          <bgColor theme="0" tint="-0.24994659260841701"/>
        </patternFill>
      </fill>
    </dxf>
    <dxf>
      <font>
        <color rgb="FFFF0000"/>
      </font>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color rgb="FFFF0000"/>
      </font>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color rgb="FFFF0000"/>
      </font>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color rgb="FFFF0000"/>
      </font>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color rgb="FFFF0000"/>
      </font>
    </dxf>
    <dxf>
      <font>
        <color theme="1"/>
      </font>
      <fill>
        <patternFill>
          <bgColor theme="0" tint="-0.24994659260841701"/>
        </patternFill>
      </fill>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rgb="FFFF0000"/>
      </font>
    </dxf>
    <dxf>
      <font>
        <b/>
        <i val="0"/>
        <color rgb="FFFF0000"/>
      </font>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rgb="FFFF0000"/>
      </font>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b val="0"/>
        <i val="0"/>
        <color theme="1"/>
      </font>
      <fill>
        <patternFill>
          <bgColor theme="0" tint="-0.24994659260841701"/>
        </patternFill>
      </fill>
    </dxf>
    <dxf>
      <font>
        <b val="0"/>
        <i val="0"/>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b/>
        <i val="0"/>
        <color rgb="FFFF0000"/>
      </font>
    </dxf>
    <dxf>
      <font>
        <color auto="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b/>
        <i val="0"/>
        <color rgb="FFFF0000"/>
      </font>
    </dxf>
    <dxf>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33CC33"/>
        </patternFill>
      </fill>
    </dxf>
    <dxf>
      <fill>
        <patternFill>
          <bgColor theme="0" tint="-0.24994659260841701"/>
        </patternFill>
      </fill>
    </dxf>
    <dxf>
      <font>
        <color theme="0"/>
      </font>
      <fill>
        <patternFill>
          <bgColor rgb="FF33CC33"/>
        </patternFill>
      </fill>
    </dxf>
    <dxf>
      <fill>
        <patternFill>
          <bgColor theme="0" tint="-0.24994659260841701"/>
        </patternFill>
      </fill>
    </dxf>
    <dxf>
      <font>
        <b/>
        <i val="0"/>
        <color rgb="FFFF0000"/>
      </font>
    </dxf>
    <dxf>
      <font>
        <b/>
        <i val="0"/>
        <color rgb="FFFF0000"/>
      </font>
    </dxf>
    <dxf>
      <fill>
        <patternFill>
          <bgColor theme="0" tint="-0.24994659260841701"/>
        </patternFill>
      </fill>
    </dxf>
    <dxf>
      <font>
        <b/>
        <i val="0"/>
      </font>
      <fill>
        <patternFill>
          <bgColor theme="8" tint="0.59996337778862885"/>
        </patternFill>
      </fill>
    </dxf>
    <dxf>
      <font>
        <b/>
        <i val="0"/>
      </font>
      <fill>
        <patternFill>
          <bgColor theme="8" tint="0.59996337778862885"/>
        </patternFill>
      </fill>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ont>
        <b/>
        <i val="0"/>
      </font>
      <fill>
        <patternFill>
          <bgColor theme="8" tint="0.59996337778862885"/>
        </patternFill>
      </fill>
    </dxf>
    <dxf>
      <font>
        <b/>
        <i val="0"/>
      </font>
      <fill>
        <patternFill>
          <bgColor theme="8" tint="0.59996337778862885"/>
        </patternFill>
      </fill>
    </dxf>
    <dxf>
      <fill>
        <patternFill>
          <bgColor theme="0" tint="-0.24994659260841701"/>
        </patternFill>
      </fill>
    </dxf>
    <dxf>
      <font>
        <b/>
        <i val="0"/>
      </font>
      <fill>
        <patternFill>
          <bgColor theme="8" tint="0.59996337778862885"/>
        </patternFill>
      </fill>
    </dxf>
    <dxf>
      <font>
        <b/>
        <i val="0"/>
      </font>
      <fill>
        <patternFill>
          <bgColor theme="8" tint="0.59996337778862885"/>
        </patternFill>
      </fill>
    </dxf>
    <dxf>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FF9900"/>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33CC33"/>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33CC33"/>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33CC33"/>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33CC33"/>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FF9900"/>
        </patternFill>
      </fill>
    </dxf>
    <dxf>
      <font>
        <color auto="1"/>
      </font>
      <fill>
        <patternFill>
          <bgColor theme="0" tint="-0.24994659260841701"/>
        </patternFill>
      </fill>
    </dxf>
    <dxf>
      <font>
        <color theme="0"/>
      </font>
      <fill>
        <patternFill>
          <bgColor rgb="FF33CC33"/>
        </patternFill>
      </fill>
    </dxf>
    <dxf>
      <font>
        <color theme="0"/>
      </font>
      <fill>
        <patternFill>
          <bgColor rgb="FF33CC33"/>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33CC33"/>
        </patternFill>
      </fill>
    </dxf>
    <dxf>
      <font>
        <color theme="0"/>
      </font>
      <fill>
        <patternFill>
          <bgColor rgb="FF33CC33"/>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33CC33"/>
        </patternFill>
      </fill>
    </dxf>
    <dxf>
      <font>
        <color auto="1"/>
      </font>
      <fill>
        <patternFill>
          <bgColor theme="0" tint="-0.24994659260841701"/>
        </patternFill>
      </fill>
    </dxf>
    <dxf>
      <font>
        <b val="0"/>
        <i val="0"/>
        <color theme="1"/>
      </font>
      <fill>
        <patternFill>
          <bgColor theme="0" tint="-0.24994659260841701"/>
        </patternFill>
      </fill>
    </dxf>
    <dxf>
      <font>
        <b val="0"/>
        <i val="0"/>
        <color theme="1"/>
      </font>
      <fill>
        <patternFill>
          <bgColor theme="0" tint="-0.24994659260841701"/>
        </patternFill>
      </fill>
    </dxf>
    <dxf>
      <fill>
        <patternFill>
          <bgColor theme="0" tint="-0.24994659260841701"/>
        </patternFill>
      </fill>
    </dxf>
    <dxf>
      <fill>
        <patternFill>
          <bgColor theme="8" tint="0.59996337778862885"/>
        </patternFill>
      </fill>
    </dxf>
    <dxf>
      <fill>
        <patternFill>
          <bgColor theme="0" tint="-0.24994659260841701"/>
        </patternFill>
      </fill>
    </dxf>
    <dxf>
      <fill>
        <patternFill>
          <bgColor theme="8" tint="0.59996337778862885"/>
        </patternFill>
      </fill>
    </dxf>
  </dxfs>
  <tableStyles count="0" defaultTableStyle="TableStyleMedium2" defaultPivotStyle="PivotStyleLight16"/>
  <colors>
    <mruColors>
      <color rgb="FF34CC33"/>
      <color rgb="FF33CC33"/>
      <color rgb="FFFF9900"/>
      <color rgb="FFFF9933"/>
      <color rgb="FFFE9900"/>
      <color rgb="FFFFCC66"/>
      <color rgb="FFFECC66"/>
      <color rgb="FFCDFFCC"/>
      <color rgb="FF8DB4E2"/>
      <color rgb="FF8EB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3</xdr:row>
      <xdr:rowOff>38100</xdr:rowOff>
    </xdr:from>
    <xdr:to>
      <xdr:col>2</xdr:col>
      <xdr:colOff>628650</xdr:colOff>
      <xdr:row>6</xdr:row>
      <xdr:rowOff>3564</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933450"/>
          <a:ext cx="1504950" cy="5369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hladikova\Documents\stazeno%20z%20webu\15960-04_fn_opzp_ii_0_11_sf1_2%20(1)\FN_OPZP_II.0.11_SF1.2\Zakladni_modul_vII.0.11_SF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jhladikova\Documents\stazeno%20z%20webu\9523-fm_sps_v1_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i list"/>
      <sheetName val="Info"/>
      <sheetName val="Spolecne vstupy"/>
      <sheetName val="Najemne V"/>
      <sheetName val="Najemne S"/>
      <sheetName val="Vstupy V"/>
      <sheetName val="Vypocty V"/>
      <sheetName val="Vystupy V"/>
      <sheetName val="Vstupy S"/>
      <sheetName val="Vypocty S"/>
      <sheetName val="Vystupy S"/>
      <sheetName val="Souhrn"/>
      <sheetName val="Slov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C1">
            <v>1</v>
          </cell>
        </row>
        <row r="4">
          <cell r="C4" t="str">
            <v>rok</v>
          </cell>
          <cell r="D4" t="str">
            <v>year</v>
          </cell>
        </row>
        <row r="5">
          <cell r="C5" t="str">
            <v>ZÁKLADNÍ VSTUPNÍ DATA</v>
          </cell>
          <cell r="D5" t="str">
            <v>KEY GENERAL INPUTS</v>
          </cell>
        </row>
        <row r="6">
          <cell r="C6" t="str">
            <v>VSTUPY PRO OBĚ SLOŽKY</v>
          </cell>
          <cell r="D6" t="str">
            <v>SHARED INPUTS</v>
          </cell>
        </row>
        <row r="7">
          <cell r="C7" t="str">
            <v>Historický rok</v>
          </cell>
          <cell r="D7" t="str">
            <v>Historical year</v>
          </cell>
        </row>
        <row r="8">
          <cell r="C8" t="str">
            <v>Délka trvání cenové fixace</v>
          </cell>
          <cell r="D8" t="str">
            <v>Duration of Price Control Period</v>
          </cell>
        </row>
        <row r="9">
          <cell r="C9" t="str">
            <v>Zbývající délka smlouvy</v>
          </cell>
          <cell r="D9" t="str">
            <v>Remaining contract life</v>
          </cell>
        </row>
        <row r="10">
          <cell r="C10" t="str">
            <v>Požadované VaPNaK</v>
          </cell>
          <cell r="D10" t="str">
            <v>Required WACC</v>
          </cell>
        </row>
        <row r="11">
          <cell r="C11" t="str">
            <v>Základní hodnota</v>
          </cell>
          <cell r="D11" t="str">
            <v>Base Value</v>
          </cell>
        </row>
        <row r="12">
          <cell r="C12" t="str">
            <v>Upravená hodnota (pro provozní společnost)</v>
          </cell>
          <cell r="D12" t="str">
            <v>Adjusted value of WACC (for Operator)</v>
          </cell>
        </row>
        <row r="13">
          <cell r="C13" t="str">
            <v>Standardní měřítko pro pohledávky (dny)</v>
          </cell>
          <cell r="D13" t="str">
            <v>Benchmark figure for accounts receivable (days)</v>
          </cell>
        </row>
        <row r="14">
          <cell r="C14" t="str">
            <v>Standardní měřítko pro závazky (dny)</v>
          </cell>
          <cell r="D14" t="str">
            <v>Benchmark figure for accounts payable (days)</v>
          </cell>
        </row>
        <row r="15">
          <cell r="C15" t="str">
            <v>Odhad roční inflace</v>
          </cell>
          <cell r="D15" t="str">
            <v>Forecast inflation</v>
          </cell>
        </row>
        <row r="16">
          <cell r="C16" t="str">
            <v>Cenový index</v>
          </cell>
          <cell r="D16" t="str">
            <v>Inflation index</v>
          </cell>
        </row>
        <row r="17">
          <cell r="C17" t="str">
            <v>Výchozí rok</v>
          </cell>
          <cell r="D17" t="str">
            <v>Base Year</v>
          </cell>
        </row>
        <row r="18">
          <cell r="C18" t="str">
            <v>První období cenové fixace</v>
          </cell>
          <cell r="D18" t="str">
            <v>1st price control period</v>
          </cell>
        </row>
        <row r="19">
          <cell r="C19" t="str">
            <v>Druhé období cenové fixace</v>
          </cell>
          <cell r="D19" t="str">
            <v>2nd price control period</v>
          </cell>
        </row>
        <row r="20">
          <cell r="C20" t="str">
            <v>Vstupy z externích modulů</v>
          </cell>
          <cell r="D20" t="str">
            <v>Inputs from off model modules</v>
          </cell>
        </row>
        <row r="21">
          <cell r="C21" t="str">
            <v>Přímé uživatelské vstupy</v>
          </cell>
          <cell r="D21" t="str">
            <v>Direct inputs</v>
          </cell>
        </row>
        <row r="22">
          <cell r="C22" t="str">
            <v>Uživatelské vstupy - přepis předvolených hodnot</v>
          </cell>
          <cell r="D22" t="str">
            <v>User input - overriding default approach</v>
          </cell>
        </row>
        <row r="23">
          <cell r="C23" t="str">
            <v>Údaje mimo modelované období</v>
          </cell>
          <cell r="D23" t="str">
            <v>Data outside time period of relevance</v>
          </cell>
        </row>
        <row r="24">
          <cell r="C24" t="str">
            <v>Takto označené řádky vyžadují některé Přímé uživatelské vstupy</v>
          </cell>
          <cell r="D24" t="str">
            <v>The rows introduced by this sign require some Direct inputs</v>
          </cell>
        </row>
        <row r="25">
          <cell r="C25" t="str">
            <v>VSTUPY PRO VODNÉ</v>
          </cell>
          <cell r="D25" t="str">
            <v>INPUTS FOR DRINKING WATER</v>
          </cell>
        </row>
        <row r="26">
          <cell r="C26" t="str">
            <v>Vstupy vlastníka</v>
          </cell>
          <cell r="D26" t="str">
            <v>Inputs by Owner</v>
          </cell>
        </row>
        <row r="27">
          <cell r="C27" t="str">
            <v>Nájemné</v>
          </cell>
          <cell r="D27" t="str">
            <v>Rent</v>
          </cell>
        </row>
        <row r="28">
          <cell r="C28" t="str">
            <v>Přístup k vyhlazení ceny</v>
          </cell>
          <cell r="D28" t="str">
            <v>Approach to tariff smoothing</v>
          </cell>
        </row>
        <row r="29">
          <cell r="C29" t="str">
            <v>Žádné / konstantní růst</v>
          </cell>
          <cell r="D29" t="str">
            <v>None / constant increase</v>
          </cell>
        </row>
        <row r="30">
          <cell r="C30" t="str">
            <v>% ročního reálného růstu pro konstantní nárůst</v>
          </cell>
          <cell r="D30" t="str">
            <v xml:space="preserve">If constant increase, % annual real increase </v>
          </cell>
        </row>
        <row r="31">
          <cell r="C31" t="str">
            <v>Vstupy vlastníka / provozovatele</v>
          </cell>
          <cell r="D31" t="str">
            <v>Inputs by Owner / Operator</v>
          </cell>
        </row>
        <row r="32">
          <cell r="C32" t="str">
            <v>Výroba</v>
          </cell>
          <cell r="D32" t="str">
            <v>Production</v>
          </cell>
        </row>
        <row r="33">
          <cell r="C33" t="str">
            <v>Voda vyčištěná (vlastní ČOV)</v>
          </cell>
          <cell r="D33" t="str">
            <v>Volume treated by own WWTP</v>
          </cell>
        </row>
        <row r="34">
          <cell r="C34" t="str">
            <v>Voda vyčištěná (jiná ČOV)</v>
          </cell>
          <cell r="D34" t="str">
            <v>Volume treated by other WWTP</v>
          </cell>
        </row>
        <row r="35">
          <cell r="C35" t="str">
            <v>Voda vyčištěná - celkem</v>
          </cell>
          <cell r="D35" t="str">
            <v>Total volume treated</v>
          </cell>
        </row>
        <row r="36">
          <cell r="C36" t="str">
            <v xml:space="preserve"> - objem vody vyrobené</v>
          </cell>
          <cell r="D36" t="str">
            <v xml:space="preserve"> - volume produced</v>
          </cell>
        </row>
        <row r="37">
          <cell r="C37" t="str">
            <v xml:space="preserve"> - objem vody převzaté</v>
          </cell>
          <cell r="D37" t="str">
            <v xml:space="preserve"> - volume purchased in bulk</v>
          </cell>
        </row>
        <row r="38">
          <cell r="C38" t="str">
            <v xml:space="preserve"> - objem vody předané</v>
          </cell>
          <cell r="D38" t="str">
            <v xml:space="preserve"> - volume sold in bulk</v>
          </cell>
        </row>
        <row r="39">
          <cell r="C39" t="str">
            <v>Voda k realizaci</v>
          </cell>
          <cell r="D39" t="str">
            <v>Total input water</v>
          </cell>
        </row>
        <row r="40">
          <cell r="C40" t="str">
            <v>Objem vody dodané</v>
          </cell>
          <cell r="D40" t="str">
            <v>Volumes supplied</v>
          </cell>
        </row>
        <row r="41">
          <cell r="C41" t="str">
            <v xml:space="preserve"> - domácnosti</v>
          </cell>
          <cell r="D41" t="str">
            <v xml:space="preserve"> - households</v>
          </cell>
        </row>
        <row r="42">
          <cell r="C42" t="str">
            <v xml:space="preserve"> - ostatní</v>
          </cell>
          <cell r="D42" t="str">
            <v xml:space="preserve"> - non-households</v>
          </cell>
        </row>
        <row r="43">
          <cell r="C43" t="str">
            <v>(včetně dešťové)</v>
          </cell>
          <cell r="D43" t="str">
            <v>(rainwater included)</v>
          </cell>
        </row>
        <row r="44">
          <cell r="C44" t="str">
            <v>Objem vody dodané - celkem</v>
          </cell>
          <cell r="D44" t="str">
            <v>Total volume supplied</v>
          </cell>
        </row>
        <row r="45">
          <cell r="C45" t="str">
            <v>Objem vody odvedené</v>
          </cell>
          <cell r="D45" t="str">
            <v>Volume collected</v>
          </cell>
        </row>
        <row r="46">
          <cell r="C46" t="str">
            <v>Voda odpadní odváděná fakturovatelná</v>
          </cell>
          <cell r="D46" t="str">
            <v>Wastewater collected and billed</v>
          </cell>
        </row>
        <row r="47">
          <cell r="C47" t="str">
            <v>Přístup k Očekávání</v>
          </cell>
          <cell r="D47" t="str">
            <v>Expectations approach</v>
          </cell>
        </row>
        <row r="48">
          <cell r="C48" t="str">
            <v>Úspěšnost výběru pohledávek</v>
          </cell>
          <cell r="D48" t="str">
            <v>Collection Rate</v>
          </cell>
        </row>
        <row r="49">
          <cell r="C49" t="str">
            <v>Vstupy provozovatele</v>
          </cell>
          <cell r="D49" t="str">
            <v>Inputs by Operator</v>
          </cell>
        </row>
        <row r="50">
          <cell r="C50" t="str">
            <v>Vstupní ReHoM</v>
          </cell>
          <cell r="D50" t="str">
            <v>Initial RAB</v>
          </cell>
        </row>
        <row r="51">
          <cell r="C51" t="str">
            <v>Infrastrukturní majetek</v>
          </cell>
          <cell r="D51" t="str">
            <v>Infrastructure assets</v>
          </cell>
        </row>
        <row r="52">
          <cell r="C52" t="str">
            <v>Provozní majetek</v>
          </cell>
          <cell r="D52" t="str">
            <v>Operational assets</v>
          </cell>
        </row>
        <row r="53">
          <cell r="C53" t="str">
            <v>Účetní odpisy stávajícího majetku</v>
          </cell>
          <cell r="D53" t="str">
            <v>Accounting depreciation for existing assets</v>
          </cell>
        </row>
        <row r="54">
          <cell r="C54" t="str">
            <v>Odpisy infrastrukturního majetku</v>
          </cell>
          <cell r="D54" t="str">
            <v>Depreciation of infrastructure assets</v>
          </cell>
        </row>
        <row r="55">
          <cell r="C55" t="str">
            <v>Odpisy provozního majetku</v>
          </cell>
          <cell r="D55" t="str">
            <v>Depreciation of operartional assets</v>
          </cell>
        </row>
        <row r="56">
          <cell r="C56" t="str">
            <v>Regulatorní odpisy stávajícího majetku</v>
          </cell>
          <cell r="D56" t="str">
            <v>Regulatory depreciation for existing assets</v>
          </cell>
        </row>
        <row r="57">
          <cell r="C57" t="str">
            <v>Investiční náklady</v>
          </cell>
          <cell r="D57" t="str">
            <v>Capex</v>
          </cell>
        </row>
        <row r="58">
          <cell r="C58" t="str">
            <v>Odpisy plánovaných investic</v>
          </cell>
          <cell r="D58" t="str">
            <v>Depreciation for planned capex</v>
          </cell>
        </row>
        <row r="59">
          <cell r="C59" t="str">
            <v>(za celou společnost)</v>
          </cell>
          <cell r="D59" t="str">
            <v>(whole company)</v>
          </cell>
        </row>
        <row r="60">
          <cell r="C60" t="str">
            <v xml:space="preserve"> jako % vstupní ceny</v>
          </cell>
          <cell r="D60" t="str">
            <v xml:space="preserve"> as % of original Capex</v>
          </cell>
        </row>
        <row r="61">
          <cell r="C61" t="str">
            <v>Přidělení provozního majetku na danou službu</v>
          </cell>
          <cell r="D61" t="str">
            <v>Apportionment of operational assets to contract</v>
          </cell>
        </row>
        <row r="62">
          <cell r="C62" t="str">
            <v>Odprodej majetku</v>
          </cell>
          <cell r="D62" t="str">
            <v>Asset disposals</v>
          </cell>
        </row>
        <row r="63">
          <cell r="C63" t="str">
            <v>Zásoby</v>
          </cell>
          <cell r="D63" t="str">
            <v>Inventory</v>
          </cell>
        </row>
        <row r="64">
          <cell r="C64" t="str">
            <v>Zbývající předplacené nájemné</v>
          </cell>
          <cell r="D64" t="str">
            <v>Outstanding pre-paid rent</v>
          </cell>
        </row>
        <row r="65">
          <cell r="C65" t="str">
            <v>Zbývající Očekávání</v>
          </cell>
          <cell r="D65" t="str">
            <v>Outstanding Expectations</v>
          </cell>
        </row>
        <row r="66">
          <cell r="C66" t="str">
            <v>Provozní náklady</v>
          </cell>
          <cell r="D66" t="str">
            <v>Opex</v>
          </cell>
        </row>
        <row r="67">
          <cell r="C67" t="str">
            <v>1. Materiál</v>
          </cell>
          <cell r="D67" t="str">
            <v>1. Material</v>
          </cell>
        </row>
        <row r="68">
          <cell r="C68" t="str">
            <v>1.1 surová voda podzemní + povrchová</v>
          </cell>
          <cell r="D68" t="str">
            <v>1.1 raw water - surface and groundwater</v>
          </cell>
        </row>
        <row r="69">
          <cell r="C69" t="str">
            <v>1.2 pitná voda převzatá + odpadní voda předaná k čištění</v>
          </cell>
          <cell r="D69" t="str">
            <v xml:space="preserve">1.2 drinking water purchased in bulk and wastewater </v>
          </cell>
        </row>
        <row r="70">
          <cell r="C70" t="str">
            <v>1.3 chemikálie</v>
          </cell>
          <cell r="D70" t="str">
            <v>1.3 chemicals</v>
          </cell>
        </row>
        <row r="71">
          <cell r="C71" t="str">
            <v>1.4 ostatní materiál</v>
          </cell>
          <cell r="D71" t="str">
            <v>1.4 other material</v>
          </cell>
        </row>
        <row r="72">
          <cell r="C72" t="str">
            <v>2. Energie</v>
          </cell>
          <cell r="D72" t="str">
            <v>2. Energy</v>
          </cell>
        </row>
        <row r="73">
          <cell r="C73" t="str">
            <v>2.1 elektrická energie</v>
          </cell>
          <cell r="D73" t="str">
            <v>2.1 electrical energy</v>
          </cell>
        </row>
        <row r="74">
          <cell r="C74" t="str">
            <v>2.2 ostatní energie (plyn, pevná a kapalná energie)</v>
          </cell>
          <cell r="D74" t="str">
            <v>2.2 other energy (gaseous, solid and liquid fuels)</v>
          </cell>
        </row>
        <row r="75">
          <cell r="C75" t="str">
            <v>3. Mzdy</v>
          </cell>
          <cell r="D75" t="str">
            <v>3. Wages</v>
          </cell>
        </row>
        <row r="76">
          <cell r="C76" t="str">
            <v>3.1 přímé mzdy</v>
          </cell>
          <cell r="D76" t="str">
            <v>3.1 direct wages</v>
          </cell>
        </row>
        <row r="77">
          <cell r="C77" t="str">
            <v>3.2 ostatní osobní náklady</v>
          </cell>
          <cell r="D77" t="str">
            <v>3.2 other staff costs</v>
          </cell>
        </row>
        <row r="78">
          <cell r="C78" t="str">
            <v>4. Ostatní přímé náklady</v>
          </cell>
          <cell r="D78" t="str">
            <v>4. Other direct costs</v>
          </cell>
        </row>
        <row r="79">
          <cell r="C79" t="str">
            <v>4.1 odpisy - pouze historické údaje!</v>
          </cell>
          <cell r="D79" t="str">
            <v>4.1 depreciation charges - historical data only!</v>
          </cell>
        </row>
        <row r="80">
          <cell r="C80" t="str">
            <v>4.2 opravy infrastrukturního majetku</v>
          </cell>
          <cell r="D80" t="str">
            <v>4.2 repairs to infrastructural assets</v>
          </cell>
        </row>
        <row r="81">
          <cell r="C81" t="str">
            <v>4.3 nájem infrastrukturního majetku - pouze historické údaje!</v>
          </cell>
          <cell r="D81" t="str">
            <v>4.3 rental of infrastructural assets - historical data only!</v>
          </cell>
        </row>
        <row r="82">
          <cell r="C82" t="str">
            <v>5.1 poplatky za vypouštění odpadních vod</v>
          </cell>
          <cell r="D82" t="str">
            <v>5.1 wastewater discharge fees</v>
          </cell>
        </row>
        <row r="83">
          <cell r="C83" t="str">
            <v>5.2 ostatní provozní náklady externí</v>
          </cell>
          <cell r="D83" t="str">
            <v>5.2 other operating costs - external</v>
          </cell>
        </row>
        <row r="84">
          <cell r="C84" t="str">
            <v>5.3 ostatní provozní náklady ve vlastní režii</v>
          </cell>
          <cell r="D84" t="str">
            <v>5.3 other own operating costs</v>
          </cell>
        </row>
        <row r="85">
          <cell r="C85" t="str">
            <v>6. Finanční náklady - 7. Finanční výnosy</v>
          </cell>
          <cell r="D85" t="str">
            <v>6. Financial costs - 7. Financial revenues</v>
          </cell>
        </row>
        <row r="86">
          <cell r="C86" t="str">
            <v>8. Výrobní režie</v>
          </cell>
          <cell r="D86" t="str">
            <v>8. Production overheads</v>
          </cell>
        </row>
        <row r="87">
          <cell r="C87" t="str">
            <v>z toho odpisy</v>
          </cell>
          <cell r="D87" t="str">
            <v>of which depreciation</v>
          </cell>
        </row>
        <row r="88">
          <cell r="C88" t="str">
            <v>9. Správní režie</v>
          </cell>
          <cell r="D88" t="str">
            <v>9. Administrative overheads</v>
          </cell>
        </row>
        <row r="89">
          <cell r="C89" t="str">
            <v>Celkové vlastní náklady dle kalkulace</v>
          </cell>
          <cell r="D89" t="str">
            <v>Total own costs following calculation</v>
          </cell>
        </row>
        <row r="90">
          <cell r="C90" t="str">
            <v>Celkové vlastní náklady kromě odpisů, nájemného a finančních nákladů</v>
          </cell>
          <cell r="D90" t="str">
            <v>Total own costs excluding depreciation, rent paid to asset owner and financial costs</v>
          </cell>
        </row>
        <row r="91">
          <cell r="C91" t="str">
            <v>Daň z příjmu právnických osob</v>
          </cell>
          <cell r="D91" t="str">
            <v>Corporation tax</v>
          </cell>
        </row>
        <row r="92">
          <cell r="C92" t="str">
            <v>Žádné</v>
          </cell>
          <cell r="D92" t="str">
            <v>None</v>
          </cell>
        </row>
        <row r="93">
          <cell r="C93" t="str">
            <v>Konstantní</v>
          </cell>
          <cell r="D93" t="str">
            <v>Constant</v>
          </cell>
        </row>
        <row r="94">
          <cell r="C94" t="str">
            <v>Konstantní růst</v>
          </cell>
          <cell r="D94" t="str">
            <v>Constant increase</v>
          </cell>
        </row>
        <row r="95">
          <cell r="C95" t="str">
            <v>běžné</v>
          </cell>
          <cell r="D95" t="str">
            <v>Straight line</v>
          </cell>
        </row>
        <row r="96">
          <cell r="C96" t="str">
            <v>anuitní</v>
          </cell>
          <cell r="D96" t="str">
            <v>Annuity</v>
          </cell>
        </row>
        <row r="97">
          <cell r="C97" t="str">
            <v>tis. Kč</v>
          </cell>
          <cell r="D97" t="str">
            <v>thou. CZK</v>
          </cell>
        </row>
        <row r="98">
          <cell r="C98" t="str">
            <v>tis. m3/rok</v>
          </cell>
          <cell r="D98" t="str">
            <v>thou. m3/yr</v>
          </cell>
        </row>
        <row r="99">
          <cell r="C99" t="str">
            <v>roky</v>
          </cell>
          <cell r="D99" t="str">
            <v>yr.</v>
          </cell>
        </row>
        <row r="100">
          <cell r="C100" t="str">
            <v>VÝSTUPY - VODNÉ</v>
          </cell>
          <cell r="D100" t="str">
            <v>OUTPUTS - DRINKING WATER</v>
          </cell>
        </row>
        <row r="101">
          <cell r="C101" t="str">
            <v>REGULATORNÍ HODNOTA KAPITÁLU</v>
          </cell>
          <cell r="D101" t="str">
            <v>REGULATORY CAPITAL VALUE</v>
          </cell>
        </row>
        <row r="102">
          <cell r="C102" t="str">
            <v>Regulatorní hodnota majetku - infrastrukturní</v>
          </cell>
          <cell r="D102" t="str">
            <v>Regulated asset base - infrastructure assets</v>
          </cell>
        </row>
        <row r="103">
          <cell r="C103" t="str">
            <v>Regulatorní hodnota majetku - provozní</v>
          </cell>
          <cell r="D103" t="str">
            <v>Regulated asset base - operational assets</v>
          </cell>
        </row>
        <row r="104">
          <cell r="C104" t="str">
            <v>Pracovní kapitál</v>
          </cell>
          <cell r="D104" t="str">
            <v>Working capital</v>
          </cell>
        </row>
        <row r="105">
          <cell r="C105" t="str">
            <v>Očekávání</v>
          </cell>
          <cell r="D105" t="str">
            <v>Expectations</v>
          </cell>
        </row>
        <row r="106">
          <cell r="C106" t="str">
            <v>ReHoK celkem</v>
          </cell>
          <cell r="D106" t="str">
            <v>Total RCV</v>
          </cell>
        </row>
        <row r="107">
          <cell r="C107" t="str">
            <v>POŽADOVANÝ PŘÍJEM</v>
          </cell>
          <cell r="D107" t="str">
            <v>REQUIRED REVENUE</v>
          </cell>
        </row>
        <row r="108">
          <cell r="C108" t="str">
            <v>Odpisy - nominální</v>
          </cell>
          <cell r="D108" t="str">
            <v>Depreciation - nominal</v>
          </cell>
        </row>
        <row r="109">
          <cell r="C109" t="str">
            <v>Odpisy infrastruktury - nominální</v>
          </cell>
          <cell r="D109" t="str">
            <v>Depreciation of infrastructure - nominal</v>
          </cell>
        </row>
        <row r="110">
          <cell r="C110" t="str">
            <v>Úprava odpisů o inflaci</v>
          </cell>
          <cell r="D110" t="str">
            <v>Depreciation adjustment for real</v>
          </cell>
        </row>
        <row r="111">
          <cell r="C111" t="str">
            <v>Výnos z ReHoK bez Očekávání</v>
          </cell>
          <cell r="D111" t="str">
            <v>Return on RCV w/o Expectations</v>
          </cell>
        </row>
        <row r="112">
          <cell r="C112" t="str">
            <v>Návratnost Očekávání</v>
          </cell>
          <cell r="D112" t="str">
            <v>Return of Expectations</v>
          </cell>
        </row>
        <row r="113">
          <cell r="C113" t="str">
            <v>Výnos z Očekávání</v>
          </cell>
          <cell r="D113" t="str">
            <v>Return on Expectations</v>
          </cell>
        </row>
        <row r="114">
          <cell r="C114" t="str">
            <v>Celkový Požadovaný příjem</v>
          </cell>
          <cell r="D114" t="str">
            <v>Total required revenue</v>
          </cell>
        </row>
        <row r="115">
          <cell r="C115" t="str">
            <v>Průměrná reálná cena založená na Požadovaném příjmu</v>
          </cell>
          <cell r="D115" t="str">
            <v>Average real price based on required revenue</v>
          </cell>
        </row>
        <row r="116">
          <cell r="C116" t="str">
            <v>Průměrná nomin. cena založená na Požadovaném příjmu</v>
          </cell>
          <cell r="D116" t="str">
            <v>Average nominal price based on required revenue</v>
          </cell>
        </row>
        <row r="117">
          <cell r="C117" t="str">
            <v>POVOLENÝ PŘÍJEM (pokud je relevantní)</v>
          </cell>
          <cell r="D117" t="str">
            <v>ALLOWED REVENUE (if relevant)</v>
          </cell>
        </row>
        <row r="118">
          <cell r="C118" t="str">
            <v>Průměrná reálná cena založená na Povoleném příjmu</v>
          </cell>
          <cell r="D118" t="str">
            <v>Average real price based on allowed revenue</v>
          </cell>
        </row>
        <row r="119">
          <cell r="C119" t="str">
            <v>Průměrná nominální cena založená na Povoleném příjmu</v>
          </cell>
          <cell r="D119" t="str">
            <v>Average nominal price based on allowed revenue</v>
          </cell>
        </row>
        <row r="120">
          <cell r="C120" t="str">
            <v>Kč/m3</v>
          </cell>
          <cell r="D120" t="str">
            <v>CZK/m3</v>
          </cell>
        </row>
        <row r="121">
          <cell r="C121" t="str">
            <v>Počáteční hodnota</v>
          </cell>
          <cell r="D121" t="str">
            <v>Opening value</v>
          </cell>
        </row>
        <row r="122">
          <cell r="C122" t="str">
            <v>Odpisy</v>
          </cell>
          <cell r="D122" t="str">
            <v>Depreciation</v>
          </cell>
        </row>
        <row r="123">
          <cell r="C123" t="str">
            <v>Odprodej</v>
          </cell>
          <cell r="D123" t="str">
            <v>Disposals</v>
          </cell>
        </row>
        <row r="124">
          <cell r="C124" t="str">
            <v>Investice</v>
          </cell>
          <cell r="D124" t="str">
            <v>New Investments</v>
          </cell>
        </row>
        <row r="125">
          <cell r="C125" t="str">
            <v>Odpisy investic</v>
          </cell>
          <cell r="D125" t="str">
            <v>Depriciation of investments</v>
          </cell>
        </row>
        <row r="126">
          <cell r="C126" t="str">
            <v>Konečná hodnota</v>
          </cell>
          <cell r="D126" t="str">
            <v>Closing value</v>
          </cell>
        </row>
        <row r="127">
          <cell r="C127" t="str">
            <v>Pracovní kapitál do budoucna</v>
          </cell>
          <cell r="D127" t="str">
            <v>Forecast Working Capital</v>
          </cell>
        </row>
        <row r="128">
          <cell r="C128" t="str">
            <v>Odhad obratu pro danou službu</v>
          </cell>
          <cell r="D128" t="str">
            <v>Forecast turnover for given contract</v>
          </cell>
        </row>
        <row r="129">
          <cell r="C129" t="str">
            <v>Odhad provozních nákladů pro danou službu</v>
          </cell>
          <cell r="D129" t="str">
            <v>Forecast operating costs for given contract</v>
          </cell>
        </row>
        <row r="130">
          <cell r="C130" t="str">
            <v>Zásoby vztahující se k dané službě</v>
          </cell>
          <cell r="D130" t="str">
            <v>Inventory employed for given service</v>
          </cell>
        </row>
        <row r="131">
          <cell r="C131" t="str">
            <v>Částečná potřeba Pracovního kapitálu</v>
          </cell>
          <cell r="D131" t="str">
            <v>Part of Working capital needs</v>
          </cell>
        </row>
        <row r="132">
          <cell r="C132" t="str">
            <v>Provozní - účetní odpisy v reálných cenách</v>
          </cell>
          <cell r="D132" t="str">
            <v>Operational - accounting depreciation in real prices</v>
          </cell>
        </row>
        <row r="133">
          <cell r="C133" t="str">
            <v>Infrastrukturní - účetní odpisy v reálných cenách</v>
          </cell>
          <cell r="D133" t="str">
            <v>Infrastructure - accounting depreciation in real prices</v>
          </cell>
        </row>
        <row r="134">
          <cell r="C134" t="str">
            <v>Reálné odpisy</v>
          </cell>
          <cell r="D134" t="str">
            <v>Real depreciation</v>
          </cell>
        </row>
        <row r="135">
          <cell r="C135" t="str">
            <v>Úprava o inflaci</v>
          </cell>
          <cell r="D135" t="str">
            <v>Adjustment for real</v>
          </cell>
        </row>
        <row r="136">
          <cell r="C136" t="str">
            <v xml:space="preserve"> - výnos z Očekávání</v>
          </cell>
          <cell r="D136" t="str">
            <v xml:space="preserve"> - return on Expectations</v>
          </cell>
        </row>
        <row r="137">
          <cell r="C137" t="str">
            <v xml:space="preserve"> - návratnost Očekávání</v>
          </cell>
          <cell r="D137" t="str">
            <v xml:space="preserve"> - return of Expectations</v>
          </cell>
        </row>
        <row r="138">
          <cell r="C138" t="str">
            <v xml:space="preserve"> - výnos a návratnost z Očekávání</v>
          </cell>
          <cell r="D138" t="str">
            <v xml:space="preserve"> - return on and of Expectations</v>
          </cell>
        </row>
        <row r="139">
          <cell r="C139" t="str">
            <v>VÝPOČTY PRO VODNÉ</v>
          </cell>
          <cell r="D139" t="str">
            <v>CALCULATIONS FOR DRINKING WATER</v>
          </cell>
        </row>
        <row r="140">
          <cell r="C140" t="str">
            <v>Diskontovaný Pož. příjem</v>
          </cell>
          <cell r="D140" t="str">
            <v>Discounted req. rev.</v>
          </cell>
        </row>
        <row r="141">
          <cell r="C141" t="str">
            <v>Diskontovaný objem produkce</v>
          </cell>
          <cell r="D141" t="str">
            <v>Dis.receivable water production</v>
          </cell>
        </row>
        <row r="142">
          <cell r="C142" t="str">
            <v>Index růstu cen</v>
          </cell>
          <cell r="D142" t="str">
            <v>Index for tariff increas</v>
          </cell>
        </row>
        <row r="143">
          <cell r="C143" t="str">
            <v>Diskontovaný objem produkce indexovaný cenovým růstem</v>
          </cell>
          <cell r="D143" t="str">
            <v>Indexed discounted receivable production</v>
          </cell>
        </row>
        <row r="144">
          <cell r="C144" t="str">
            <v>Cena</v>
          </cell>
          <cell r="D144" t="str">
            <v>Annual water tariff</v>
          </cell>
        </row>
        <row r="145">
          <cell r="C145" t="str">
            <v>Přepínače</v>
          </cell>
          <cell r="D145" t="str">
            <v>Switches</v>
          </cell>
        </row>
        <row r="146">
          <cell r="C146" t="str">
            <v>VSTUPY PRO STOČNÉ</v>
          </cell>
          <cell r="D146" t="str">
            <v>INPUTS FOR WASTEWATER</v>
          </cell>
        </row>
        <row r="147">
          <cell r="C147" t="str">
            <v>VÝPOČTY PRO STOČNÉ</v>
          </cell>
          <cell r="D147" t="str">
            <v>CALCULATIONS FOR WASTEWATER</v>
          </cell>
        </row>
        <row r="148">
          <cell r="C148" t="str">
            <v>VÝSTUPY - STOČNÉ</v>
          </cell>
          <cell r="D148" t="str">
            <v>OUTPUTS - WASTEWATER</v>
          </cell>
        </row>
        <row r="149">
          <cell r="C149" t="str">
            <v>NÁJEMNÉ</v>
          </cell>
          <cell r="D149" t="str">
            <v>RENT</v>
          </cell>
        </row>
        <row r="150">
          <cell r="C150" t="str">
            <v>VODNÉ</v>
          </cell>
          <cell r="D150" t="str">
            <v>DRINKING WATER</v>
          </cell>
        </row>
        <row r="151">
          <cell r="C151" t="str">
            <v>STOČNÉ</v>
          </cell>
          <cell r="D151" t="str">
            <v>WASTEWATER</v>
          </cell>
        </row>
        <row r="152">
          <cell r="C152" t="str">
            <v>Investiční výdaje dle Plánu financování obnovy</v>
          </cell>
          <cell r="D152" t="str">
            <v>Investments from Asset Renewal Plan</v>
          </cell>
        </row>
        <row r="153">
          <cell r="C153" t="str">
            <v>Finanční potřeba vlastníka</v>
          </cell>
          <cell r="D153" t="str">
            <v>Owner's financial needs</v>
          </cell>
        </row>
        <row r="154">
          <cell r="C154" t="str">
            <v>Provozní náklady vlastníka</v>
          </cell>
          <cell r="D154" t="str">
            <v>Owner's opex</v>
          </cell>
        </row>
        <row r="155">
          <cell r="C155" t="str">
            <v>Celková dluhová služba vlastníka</v>
          </cell>
          <cell r="D155" t="str">
            <v>Owner's total debt service payments</v>
          </cell>
        </row>
        <row r="156">
          <cell r="C156" t="str">
            <v xml:space="preserve"> z toho jistina</v>
          </cell>
          <cell r="D156" t="str">
            <v xml:space="preserve"> of which principal</v>
          </cell>
        </row>
        <row r="157">
          <cell r="C157" t="str">
            <v xml:space="preserve"> z toho úroky</v>
          </cell>
          <cell r="D157" t="str">
            <v xml:space="preserve"> of which interest</v>
          </cell>
        </row>
        <row r="158">
          <cell r="C158" t="str">
            <v>Očekávané daňové povinnosti vlastníka</v>
          </cell>
          <cell r="D158" t="str">
            <v>Owner's expected tax obligations</v>
          </cell>
        </row>
        <row r="159">
          <cell r="C159" t="str">
            <v>Smluvní investice ze strany provozovatele</v>
          </cell>
          <cell r="D159" t="str">
            <v>Operator's investment in infrastructure assets</v>
          </cell>
        </row>
        <row r="160">
          <cell r="C160" t="str">
            <v>Financováno z dotací</v>
          </cell>
          <cell r="D160" t="str">
            <v>Grant finance</v>
          </cell>
        </row>
        <row r="161">
          <cell r="C161" t="str">
            <v>Financováno z úvěru</v>
          </cell>
          <cell r="D161" t="str">
            <v>Debt finance</v>
          </cell>
        </row>
        <row r="162">
          <cell r="C162" t="str">
            <v>Potřeba vlastních zdrojů na obnovu a rozšíření</v>
          </cell>
          <cell r="D162" t="str">
            <v>Financed from own sources</v>
          </cell>
        </row>
        <row r="163">
          <cell r="C163" t="str">
            <v>Investiční výdaje na nové investice nad obnovu</v>
          </cell>
          <cell r="D163" t="str">
            <v>Investments over renewal plan</v>
          </cell>
        </row>
        <row r="164">
          <cell r="C164" t="str">
            <v>Celková roční potřeba vlastních zdrojů</v>
          </cell>
          <cell r="D164" t="str">
            <v>Total annual need of own sources</v>
          </cell>
        </row>
        <row r="165">
          <cell r="C165" t="str">
            <v>tis. Kč</v>
          </cell>
          <cell r="D165" t="str">
            <v>thou. CZK</v>
          </cell>
        </row>
        <row r="166">
          <cell r="C166" t="str">
            <v>Příjem vlastníka</v>
          </cell>
          <cell r="D166" t="str">
            <v>Owner's revenue</v>
          </cell>
        </row>
        <row r="167">
          <cell r="C167" t="str">
            <v>Nájem z vodného</v>
          </cell>
          <cell r="D167" t="str">
            <v xml:space="preserve">Drinking water rent </v>
          </cell>
        </row>
        <row r="168">
          <cell r="C168" t="str">
            <v>Nájem ze stočného</v>
          </cell>
          <cell r="D168" t="str">
            <v xml:space="preserve">Wastewater rent </v>
          </cell>
        </row>
        <row r="169">
          <cell r="C169" t="str">
            <v>CELKEM</v>
          </cell>
          <cell r="D169" t="str">
            <v>TOTAL</v>
          </cell>
        </row>
        <row r="170">
          <cell r="C170" t="str">
            <v>Roční potřeba vlastních zdrojů na vodné</v>
          </cell>
          <cell r="D170" t="str">
            <v>Annual requirement for own sources - DW</v>
          </cell>
        </row>
        <row r="171">
          <cell r="C171" t="str">
            <v>Roční potřeba vlastních zdrojů na stočné</v>
          </cell>
          <cell r="D171" t="str">
            <v>Annual requirement for own sources - WW</v>
          </cell>
        </row>
        <row r="172">
          <cell r="C172" t="str">
            <v>Příspěvek vlastníka</v>
          </cell>
          <cell r="D172" t="str">
            <v>Owner's contribution</v>
          </cell>
        </row>
        <row r="173">
          <cell r="C173" t="str">
            <v>Stav účtu hotovosti vlastníka ke konci roku</v>
          </cell>
          <cell r="D173" t="str">
            <v>State of owner's cash balance at start of year</v>
          </cell>
        </row>
        <row r="174">
          <cell r="C174" t="str">
            <v>ÚČET HOTOVOSTI VLASTNÍKA</v>
          </cell>
          <cell r="D174" t="str">
            <v>OWNER'S CASH BALANCE</v>
          </cell>
        </row>
        <row r="175">
          <cell r="C175" t="str">
            <v>Nájemné plus příspěvek vlastníka mínus výdaje</v>
          </cell>
          <cell r="D175" t="str">
            <v>Rent plus owner's contribution minus expenditure</v>
          </cell>
        </row>
        <row r="176">
          <cell r="C176" t="str">
            <v>(vybraná varianta)</v>
          </cell>
          <cell r="D176" t="str">
            <v>(chosen alternative)</v>
          </cell>
        </row>
        <row r="177">
          <cell r="C177" t="str">
            <v>A. Obecné</v>
          </cell>
          <cell r="D177" t="str">
            <v>A. General</v>
          </cell>
        </row>
        <row r="178">
          <cell r="C178" t="str">
            <v>B. Provozní majetek (za celou společnost)</v>
          </cell>
          <cell r="D178" t="str">
            <v>B. Operational assets (whole company)</v>
          </cell>
        </row>
        <row r="179">
          <cell r="C179" t="str">
            <v>Zbývající prvky ReHoK</v>
          </cell>
          <cell r="D179" t="str">
            <v>The rest of RCV elements</v>
          </cell>
        </row>
        <row r="180">
          <cell r="C180" t="str">
            <v>sazba</v>
          </cell>
          <cell r="D180" t="str">
            <v>rate</v>
          </cell>
        </row>
        <row r="181">
          <cell r="C181" t="str">
            <v>Základ</v>
          </cell>
          <cell r="D181" t="str">
            <v>Base</v>
          </cell>
        </row>
        <row r="182">
          <cell r="C182" t="str">
            <v>VÝSTUPY ZA OBĚ SLOŽKY DOHROMADY</v>
          </cell>
          <cell r="D182" t="str">
            <v>TOTAL OUTPUTS</v>
          </cell>
        </row>
        <row r="183">
          <cell r="C183" t="str">
            <v xml:space="preserve"> celkem</v>
          </cell>
          <cell r="D183" t="str">
            <v xml:space="preserve"> total</v>
          </cell>
        </row>
        <row r="184">
          <cell r="C184" t="str">
            <v>Bílý text v buňkách těchto barev naznačuje vstupní údaj</v>
          </cell>
          <cell r="D184" t="str">
            <v>White text in cells of these colours indicates input data</v>
          </cell>
        </row>
        <row r="185">
          <cell r="C185" t="str">
            <v>Jakýkoliv text v buňkách těchto barev je vstupní údaj</v>
          </cell>
          <cell r="D185" t="str">
            <v>Any text in cells of these colours indicates input data</v>
          </cell>
        </row>
        <row r="186">
          <cell r="C186" t="str">
            <v>bez PK</v>
          </cell>
          <cell r="D186" t="str">
            <v>w/o WC</v>
          </cell>
        </row>
        <row r="187">
          <cell r="C187" t="str">
            <v>Úprava Pož. příjmu o PK</v>
          </cell>
          <cell r="D187" t="str">
            <v>Modified Req. revenue by WC</v>
          </cell>
        </row>
        <row r="188">
          <cell r="C188" t="str">
            <v>příjmová část PK</v>
          </cell>
          <cell r="D188" t="str">
            <v>active WC</v>
          </cell>
        </row>
        <row r="189">
          <cell r="C189" t="str">
            <v>bez příjmové části</v>
          </cell>
          <cell r="D189" t="str">
            <v>w/o active part</v>
          </cell>
        </row>
        <row r="190">
          <cell r="C190" t="str">
            <v>a</v>
          </cell>
          <cell r="D190" t="str">
            <v>and</v>
          </cell>
        </row>
        <row r="191">
          <cell r="C191" t="str">
            <v>PK</v>
          </cell>
          <cell r="D191" t="str">
            <v>WC</v>
          </cell>
        </row>
        <row r="192">
          <cell r="C192" t="str">
            <v>uskutečněných v roce</v>
          </cell>
          <cell r="D192" t="str">
            <v>originating in</v>
          </cell>
        </row>
        <row r="193">
          <cell r="C193" t="str">
            <v>spočítaná</v>
          </cell>
          <cell r="D193" t="str">
            <v>calculated</v>
          </cell>
        </row>
        <row r="194">
          <cell r="C194" t="str">
            <v>uživatelský vstup</v>
          </cell>
          <cell r="D194" t="str">
            <v>user input</v>
          </cell>
        </row>
        <row r="195">
          <cell r="C195" t="str">
            <v>Výše požadovaných cen</v>
          </cell>
          <cell r="D195" t="str">
            <v>Predetermined tariff</v>
          </cell>
        </row>
        <row r="196">
          <cell r="C196" t="str">
            <v>Stálé ceny</v>
          </cell>
          <cell r="D196" t="str">
            <v>Constant prices</v>
          </cell>
        </row>
        <row r="197">
          <cell r="C197" t="str">
            <v>Běžné ceny</v>
          </cell>
          <cell r="D197" t="str">
            <v>Current prices</v>
          </cell>
        </row>
        <row r="198">
          <cell r="C198" t="str">
            <v>Nájemné dle stanovené ceny</v>
          </cell>
          <cell r="D198" t="str">
            <v>Rental payment required for desired tariff</v>
          </cell>
        </row>
        <row r="199">
          <cell r="C199" t="str">
            <v>Možnost vzdát se zisku</v>
          </cell>
          <cell r="D199" t="str">
            <v>Voluntary giving up of profit</v>
          </cell>
        </row>
        <row r="200">
          <cell r="C200" t="str">
            <v>Horní hranice odpočtu</v>
          </cell>
          <cell r="D200" t="str">
            <v>Maximum of giving up</v>
          </cell>
        </row>
        <row r="201">
          <cell r="C201" t="str">
            <v>Vzdát se zisku ve výši:</v>
          </cell>
          <cell r="D201" t="str">
            <v>Give up of profit:</v>
          </cell>
        </row>
        <row r="202">
          <cell r="C202" t="str">
            <v>SOUHRN</v>
          </cell>
          <cell r="D202" t="str">
            <v>SUMMARY</v>
          </cell>
        </row>
        <row r="203">
          <cell r="C203" t="str">
            <v>po vzdání se zisku</v>
          </cell>
          <cell r="D203" t="str">
            <v>after giving up of profit</v>
          </cell>
        </row>
        <row r="204">
          <cell r="C204" t="str">
            <v>Nájemné koresponduje s cenami</v>
          </cell>
          <cell r="D204" t="str">
            <v>Rent calculated by desired tariff - OK</v>
          </cell>
        </row>
        <row r="205">
          <cell r="C205" t="str">
            <v>Nutný přepočet nájemného</v>
          </cell>
          <cell r="D205" t="str">
            <v>New calculation of rent needed</v>
          </cell>
        </row>
        <row r="206">
          <cell r="C206" t="str">
            <v>Výpočet nájemného dle zadané ceny</v>
          </cell>
          <cell r="D206" t="str">
            <v>Calculation of rent by desired tariff</v>
          </cell>
        </row>
        <row r="207">
          <cell r="C207" t="str">
            <v>Nájemné - přímý uživatelský vstup</v>
          </cell>
          <cell r="D207" t="str">
            <v>Rent - direct user input</v>
          </cell>
        </row>
        <row r="208">
          <cell r="C208" t="str">
            <v>bez DPH</v>
          </cell>
          <cell r="D208" t="str">
            <v>w/o VAT</v>
          </cell>
        </row>
        <row r="209">
          <cell r="C209" t="str">
            <v>Název vlastníka</v>
          </cell>
          <cell r="D209" t="str">
            <v>Name of Owner</v>
          </cell>
        </row>
        <row r="210">
          <cell r="C210" t="str">
            <v>Název provozovatele</v>
          </cell>
          <cell r="D210" t="str">
            <v>Name of Operator</v>
          </cell>
        </row>
        <row r="211">
          <cell r="C211" t="str">
            <v>Zvolený kraj</v>
          </cell>
          <cell r="D211" t="str">
            <v>Selected region</v>
          </cell>
        </row>
        <row r="212">
          <cell r="C212" t="str">
            <v>Krajský index čistých příjmů domácností</v>
          </cell>
          <cell r="D212" t="str">
            <v>Regional index of net household income</v>
          </cell>
        </row>
        <row r="213">
          <cell r="C213" t="str">
            <v>Kraj</v>
          </cell>
          <cell r="D213" t="str">
            <v>Region</v>
          </cell>
        </row>
        <row r="214">
          <cell r="C214" t="str">
            <v>Průměrná spotřeba vody v domácnostech</v>
          </cell>
          <cell r="D214" t="str">
            <v>Specific domestic water consumption</v>
          </cell>
        </row>
        <row r="215">
          <cell r="C215" t="str">
            <v>ve výchozím roce</v>
          </cell>
          <cell r="D215" t="str">
            <v>in base year</v>
          </cell>
        </row>
        <row r="216">
          <cell r="C216" t="str">
            <v>Čistý průměrný měsíční příjem domácnosti</v>
          </cell>
          <cell r="D216" t="str">
            <v>Net average monthly income</v>
          </cell>
        </row>
        <row r="217">
          <cell r="C217" t="str">
            <v>v daném kraji</v>
          </cell>
          <cell r="D217" t="str">
            <v>in selected region</v>
          </cell>
        </row>
        <row r="218">
          <cell r="C218" t="str">
            <v>Kč / osobu</v>
          </cell>
          <cell r="D218" t="str">
            <v>CZK/person</v>
          </cell>
        </row>
        <row r="219">
          <cell r="C219" t="str">
            <v>DPH z vodného a stočného</v>
          </cell>
          <cell r="D219" t="str">
            <v>VAT on water services</v>
          </cell>
        </row>
        <row r="220">
          <cell r="C220" t="str">
            <v>Hranice sociální únosnosti</v>
          </cell>
          <cell r="D220" t="str">
            <v>Affordability limit (share of household income)</v>
          </cell>
        </row>
        <row r="221">
          <cell r="C221" t="str">
            <v>l/os/den</v>
          </cell>
          <cell r="D221" t="str">
            <v>l/p/d</v>
          </cell>
        </row>
        <row r="222">
          <cell r="C222" t="str">
            <v>Fyzické ukazatele</v>
          </cell>
          <cell r="D222" t="str">
            <v>Physical indicators</v>
          </cell>
        </row>
        <row r="223">
          <cell r="C223" t="str">
            <v>Objem vody dodané - domácnosti</v>
          </cell>
          <cell r="D223" t="str">
            <v>Volume supplied - households</v>
          </cell>
        </row>
        <row r="224">
          <cell r="C224" t="str">
            <v>Objem vody dodané - ostatní</v>
          </cell>
          <cell r="D224" t="str">
            <v>Volume supplied - non-households</v>
          </cell>
        </row>
        <row r="225">
          <cell r="C225" t="str">
            <v>Voda odpadní odváděná - domácnosti</v>
          </cell>
          <cell r="D225" t="str">
            <v>Wastewater collected - households</v>
          </cell>
        </row>
        <row r="226">
          <cell r="C226" t="str">
            <v>Voda odpadní odváděná - ostatní (včetně dešťové)</v>
          </cell>
          <cell r="D226" t="str">
            <v>Wastewater collected - non-households (rainwater included)</v>
          </cell>
        </row>
        <row r="227">
          <cell r="C227" t="str">
            <v>Růst v reálných příjmech domácností</v>
          </cell>
          <cell r="D227" t="str">
            <v>Growth in real household incomes</v>
          </cell>
        </row>
        <row r="228">
          <cell r="C228" t="str">
            <v>Index reálných příjmů domácností</v>
          </cell>
          <cell r="D228" t="str">
            <v>Index of real household incomes</v>
          </cell>
        </row>
        <row r="229">
          <cell r="C229" t="str">
            <v>Sociální únosnost</v>
          </cell>
          <cell r="D229" t="str">
            <v>Affordability</v>
          </cell>
        </row>
        <row r="230">
          <cell r="C230" t="str">
            <v>Roční průměrný výdaj na osobu za vodné a stočné</v>
          </cell>
          <cell r="D230" t="str">
            <v>Annual average expenditure on water services per person</v>
          </cell>
        </row>
        <row r="231">
          <cell r="C231" t="str">
            <v>Roční průměrný čistý příjem za osobu</v>
          </cell>
          <cell r="D231" t="str">
            <v>Annual average net income per person</v>
          </cell>
        </row>
        <row r="232">
          <cell r="C232" t="str">
            <v>Podíl výdajů domácností na vodné a stočné na příjmech</v>
          </cell>
          <cell r="D232" t="str">
            <v>Share of household income on water services</v>
          </cell>
        </row>
        <row r="233">
          <cell r="C233" t="str">
            <v>Sociálně unosná cena</v>
          </cell>
          <cell r="D233" t="str">
            <v>Affordability limit</v>
          </cell>
        </row>
        <row r="234">
          <cell r="C234" t="str">
            <v>Cena pro vodné (ve stálých cenách, vč. DPH)</v>
          </cell>
          <cell r="D234" t="str">
            <v>Water tariff (in constant prices, incl. VAT)</v>
          </cell>
        </row>
        <row r="235">
          <cell r="C235" t="str">
            <v>Cena pro stočné (ve stálých cenách, vč. DPH)</v>
          </cell>
          <cell r="D235" t="str">
            <v>Wastewater tariff (in constant prices, incl. VAT)</v>
          </cell>
        </row>
        <row r="236">
          <cell r="C236" t="str">
            <v>Sociálně únosná cena (stále ceny, vč. DPH)</v>
          </cell>
          <cell r="D236" t="str">
            <v>Affordability limit (constant prices, incl. VAT)</v>
          </cell>
        </row>
        <row r="237">
          <cell r="C237" t="str">
            <v>Ceny pro vodné a stočné a sociální únosnost - stálé ceny</v>
          </cell>
          <cell r="D237" t="str">
            <v>Tariffs and affordability - constant prices</v>
          </cell>
        </row>
        <row r="238">
          <cell r="C238" t="str">
            <v>budoucnost</v>
          </cell>
          <cell r="D238" t="str">
            <v>future</v>
          </cell>
        </row>
        <row r="239">
          <cell r="C239" t="str">
            <v xml:space="preserve">Požadovaný příjem </v>
          </cell>
          <cell r="D239" t="str">
            <v>Required revenue</v>
          </cell>
        </row>
        <row r="240">
          <cell r="C240" t="str">
            <v>Kč</v>
          </cell>
          <cell r="D240" t="str">
            <v>CZK</v>
          </cell>
        </row>
        <row r="241">
          <cell r="C241" t="str">
            <v>Dlouhodobý deficit v nájemném této složky!</v>
          </cell>
          <cell r="D241" t="str">
            <v>Longterm deficit in rent to Owner!</v>
          </cell>
        </row>
        <row r="242">
          <cell r="C242" t="str">
            <v>Finanční náklady</v>
          </cell>
          <cell r="D242" t="str">
            <v>Financial costs</v>
          </cell>
        </row>
        <row r="243">
          <cell r="C243" t="str">
            <v>Odpisy zahrnuté do výrobní režie</v>
          </cell>
          <cell r="D243" t="str">
            <v>Depreciation included into Production overheads</v>
          </cell>
        </row>
        <row r="244">
          <cell r="C244" t="str">
            <v>Odpisy zahrnuté do správní režie</v>
          </cell>
          <cell r="D244" t="str">
            <v>Depreciation included into Administrative overheads</v>
          </cell>
        </row>
        <row r="245">
          <cell r="C245" t="str">
            <v>Hodnota infrastrukturního majetku podle VÚME</v>
          </cell>
          <cell r="D245" t="str">
            <v>Ifrastructural assets - valued by MoAg methodology</v>
          </cell>
        </row>
        <row r="246">
          <cell r="C246" t="str">
            <v>Pořizovací cena provozního majetku</v>
          </cell>
          <cell r="D246" t="str">
            <v>Purchase value of Operational assets</v>
          </cell>
        </row>
        <row r="247">
          <cell r="C247" t="str">
            <v>Počet pracovníků</v>
          </cell>
          <cell r="D247" t="str">
            <v>Number of employees</v>
          </cell>
        </row>
        <row r="248">
          <cell r="C248" t="str">
            <v>Nominální odpisy investic do provozního majetku v reálných cenách</v>
          </cell>
          <cell r="D248" t="str">
            <v>Nominal depreciation of Operational assets in real prices</v>
          </cell>
        </row>
        <row r="249">
          <cell r="C249" t="str">
            <v>Nominální odpisy investic do infra. majetku v reálných cenách</v>
          </cell>
          <cell r="D249" t="str">
            <v>Nominal depreciation of Infrastructural assets in real prices</v>
          </cell>
        </row>
        <row r="250">
          <cell r="C250" t="str">
            <v>Zisk před zdaněním, z toho</v>
          </cell>
          <cell r="D250" t="str">
            <v>Profit before taxes, including:</v>
          </cell>
        </row>
        <row r="251">
          <cell r="C251" t="str">
            <v>Přiměřený zisk jako % ÚVN</v>
          </cell>
          <cell r="D251" t="str">
            <v>Reasonable profit as % of Total costs</v>
          </cell>
        </row>
        <row r="252">
          <cell r="C252" t="str">
            <v>Dobrovolně snížený zisk jako % ÚVN</v>
          </cell>
          <cell r="D252" t="str">
            <v>Voluntarily decreased profit as  % of Total costs</v>
          </cell>
        </row>
        <row r="253">
          <cell r="C253" t="str">
            <v>Zisk ve vztahu ke Kalkulaci</v>
          </cell>
          <cell r="D253" t="str">
            <v>Profit related to Official MoAg Report</v>
          </cell>
        </row>
        <row r="254">
          <cell r="C254" t="str">
            <v>Přiměřený zisk po snížení před zdaněním</v>
          </cell>
          <cell r="D254" t="str">
            <v>Reasonable profit before tax after voluntary decrease</v>
          </cell>
        </row>
        <row r="255">
          <cell r="C255" t="str">
            <v>Potencionální zisk z titulu nikdy nevybraných pohledávek</v>
          </cell>
          <cell r="D255" t="str">
            <v>Potentional profit at 100% Collection rate</v>
          </cell>
        </row>
        <row r="256">
          <cell r="C256" t="str">
            <v>Kalkulační zisk</v>
          </cell>
          <cell r="D256" t="str">
            <v>Profit for Official MoAg Report</v>
          </cell>
        </row>
        <row r="257">
          <cell r="C257" t="str">
            <v>Kalkulační zisk jako % ÚVN</v>
          </cell>
          <cell r="D257" t="str">
            <v>Profit for Official MoAg Report as % of Totatl costs</v>
          </cell>
        </row>
        <row r="258">
          <cell r="C258" t="str">
            <v>ZMĚNY V REHOM</v>
          </cell>
          <cell r="D258" t="str">
            <v>CHANGES IN RAB</v>
          </cell>
        </row>
        <row r="259">
          <cell r="C259" t="str">
            <v>Skutečně uhrazená produkce</v>
          </cell>
          <cell r="D259" t="str">
            <v>Receivable production</v>
          </cell>
        </row>
        <row r="260">
          <cell r="C260" t="str">
            <v>Provozní majetek - přidělený</v>
          </cell>
          <cell r="D260" t="str">
            <v>Operational assets - apportioned</v>
          </cell>
        </row>
        <row r="261">
          <cell r="C261" t="str">
            <v>% změna v ceně</v>
          </cell>
          <cell r="D261" t="str">
            <v>% change in annual tariff</v>
          </cell>
        </row>
        <row r="262">
          <cell r="C262" t="str">
            <v>v běžných cenách</v>
          </cell>
          <cell r="D262" t="str">
            <v>current prices</v>
          </cell>
        </row>
        <row r="263">
          <cell r="C263" t="str">
            <v>provozovatele</v>
          </cell>
          <cell r="D263" t="str">
            <v>of Operator</v>
          </cell>
        </row>
        <row r="264">
          <cell r="C264" t="str">
            <v>4. Ostatní přímé náklady, 5. Provozní náklady</v>
          </cell>
          <cell r="D264" t="str">
            <v>4. Other direct costs, 5. Operational costs</v>
          </cell>
        </row>
        <row r="272">
          <cell r="C272" t="str">
            <v>bez odpisů</v>
          </cell>
          <cell r="D272" t="str">
            <v>w/o depreciation</v>
          </cell>
        </row>
        <row r="273">
          <cell r="C273" t="str">
            <v>včetně odpisů</v>
          </cell>
          <cell r="D273" t="str">
            <v>depreciation included</v>
          </cell>
        </row>
        <row r="274">
          <cell r="C274" t="str">
            <v>k tomu odpisy</v>
          </cell>
          <cell r="D274" t="str">
            <v>plus depreciation</v>
          </cell>
        </row>
        <row r="275">
          <cell r="C275" t="str">
            <v>Úprava o finanční náklady a výnosy</v>
          </cell>
          <cell r="D275" t="str">
            <v>Adjustment for financial costs and revenues</v>
          </cell>
        </row>
        <row r="276">
          <cell r="C276" t="str">
            <v>Vstup odpisů Provozního majetku do ceny</v>
          </cell>
          <cell r="D276" t="str">
            <v>Influence of Operational assets depreciation on price</v>
          </cell>
        </row>
        <row r="277">
          <cell r="C277" t="str">
            <v>v rámci zadání provozních nákladů uživatelem</v>
          </cell>
          <cell r="D277" t="str">
            <v>within the OPEX users input</v>
          </cell>
        </row>
        <row r="278">
          <cell r="C278" t="str">
            <v>automatickým výpočtem Modelu</v>
          </cell>
          <cell r="D278" t="str">
            <v>by automatic Model calculation</v>
          </cell>
        </row>
        <row r="279">
          <cell r="C279" t="str">
            <v>Smluvní minimální výše oprav s charakterem obnovy</v>
          </cell>
          <cell r="D279" t="str">
            <v>The agreed minimal renewal repairs</v>
          </cell>
        </row>
        <row r="281">
          <cell r="C281" t="str">
            <v>English</v>
          </cell>
          <cell r="D281" t="str">
            <v>Czech</v>
          </cell>
        </row>
        <row r="282">
          <cell r="C282" t="str">
            <v>Name of Owner</v>
          </cell>
          <cell r="D282" t="str">
            <v>Název vlastníka</v>
          </cell>
        </row>
        <row r="283">
          <cell r="C283" t="str">
            <v>Person in charge</v>
          </cell>
          <cell r="D283" t="str">
            <v>Zodpovědná osoba</v>
          </cell>
        </row>
        <row r="284">
          <cell r="C284" t="str">
            <v>Name of Operator</v>
          </cell>
          <cell r="D284" t="str">
            <v>Název provozovatele</v>
          </cell>
        </row>
        <row r="285">
          <cell r="C285" t="str">
            <v>Person in charge</v>
          </cell>
          <cell r="D285" t="str">
            <v>Zodpovědná osoba</v>
          </cell>
        </row>
        <row r="286">
          <cell r="C286" t="str">
            <v>Contact address</v>
          </cell>
          <cell r="D286" t="str">
            <v>Kontaktní adresa</v>
          </cell>
        </row>
        <row r="287">
          <cell r="C287" t="str">
            <v>Telephone number</v>
          </cell>
          <cell r="D287" t="str">
            <v>Telefonní číslo</v>
          </cell>
        </row>
        <row r="288">
          <cell r="C288" t="str">
            <v>Fax number</v>
          </cell>
          <cell r="D288" t="str">
            <v>Fax</v>
          </cell>
        </row>
        <row r="289">
          <cell r="C289" t="str">
            <v>E-mail</v>
          </cell>
          <cell r="D289" t="str">
            <v>E-mail</v>
          </cell>
        </row>
        <row r="290">
          <cell r="C290" t="str">
            <v>Completed by</v>
          </cell>
          <cell r="D290" t="str">
            <v>Vyplnil</v>
          </cell>
        </row>
        <row r="291">
          <cell r="C291" t="str">
            <v>Financial Model for Water Sector Owners and Operators</v>
          </cell>
          <cell r="D291" t="str">
            <v>Finanční model pro vlastníky a provozovatele vodohospodářské infrastruktury</v>
          </cell>
        </row>
        <row r="292">
          <cell r="C292" t="str">
            <v>This project is co-financed by the European Union</v>
          </cell>
          <cell r="D292" t="str">
            <v>Tento projekt je spolufinancován Evropskou unií</v>
          </cell>
        </row>
        <row r="293">
          <cell r="C293" t="str">
            <v>Project Reference Data</v>
          </cell>
          <cell r="D293" t="str">
            <v>Identifikační údaje</v>
          </cell>
        </row>
        <row r="294">
          <cell r="C294" t="str">
            <v>Infrastructure Owner</v>
          </cell>
          <cell r="D294" t="str">
            <v>Vlastník infrastruktury</v>
          </cell>
        </row>
        <row r="295">
          <cell r="C295" t="str">
            <v>Infrastructure Operator</v>
          </cell>
          <cell r="D295" t="str">
            <v>Provozovatel infrastruktury</v>
          </cell>
        </row>
        <row r="296">
          <cell r="C296" t="str">
            <v>Version</v>
          </cell>
          <cell r="D296" t="str">
            <v>Verze</v>
          </cell>
        </row>
        <row r="297">
          <cell r="C297" t="str">
            <v>Date</v>
          </cell>
          <cell r="D297" t="str">
            <v>Datum</v>
          </cell>
        </row>
        <row r="298">
          <cell r="C298" t="str">
            <v>developed under contract for the project 'Financial and technical consultancy for SEF CR and MoE in the implementation of Annex 7 OPE'</v>
          </cell>
          <cell r="D298" t="str">
            <v>vypracován v rámci zakázky "Zajišťování finančně-technického poradenství pro SFŽP ČR a MŽP při implementaci přílohy č.7 OP ŽP"</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Info"/>
      <sheetName val="Spolecne vstupy"/>
      <sheetName val="PV ex ante"/>
      <sheetName val="PV ex post"/>
      <sheetName val="PV výpočty"/>
      <sheetName val="PV platba"/>
      <sheetName val="OV ex ante"/>
      <sheetName val="OV ex post"/>
      <sheetName val="OV výpočty"/>
      <sheetName val="OV platba"/>
      <sheetName val="Kalkulace"/>
      <sheetName val="Kalkulace výpočty"/>
      <sheetName val="Slovní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C1">
            <v>1</v>
          </cell>
        </row>
        <row r="4">
          <cell r="C4" t="str">
            <v>rok</v>
          </cell>
          <cell r="D4" t="str">
            <v>year</v>
          </cell>
        </row>
        <row r="5">
          <cell r="C5" t="str">
            <v>Cenové indexy</v>
          </cell>
          <cell r="D5" t="str">
            <v>Price indices</v>
          </cell>
        </row>
        <row r="6">
          <cell r="C6" t="str">
            <v>Vstupy</v>
          </cell>
          <cell r="D6" t="str">
            <v>Inputs</v>
          </cell>
        </row>
        <row r="7">
          <cell r="C7" t="str">
            <v>Současný rok</v>
          </cell>
          <cell r="D7" t="str">
            <v>Current Year</v>
          </cell>
        </row>
        <row r="8">
          <cell r="C8" t="str">
            <v>Délka trvání cenové fixace</v>
          </cell>
          <cell r="D8" t="str">
            <v>Duration of Price Control Period</v>
          </cell>
        </row>
        <row r="9">
          <cell r="C9" t="str">
            <v>Zbývající délka smlouvy</v>
          </cell>
          <cell r="D9" t="str">
            <v>Remaining contract life</v>
          </cell>
        </row>
        <row r="10">
          <cell r="C10" t="str">
            <v>Požadované VaPNaK</v>
          </cell>
          <cell r="D10" t="str">
            <v>Required WACC</v>
          </cell>
        </row>
        <row r="11">
          <cell r="C11" t="str">
            <v>Základní hodnota</v>
          </cell>
          <cell r="D11" t="str">
            <v>Base Value</v>
          </cell>
        </row>
        <row r="12">
          <cell r="C12" t="str">
            <v>Upravená hodnota (pro provozní společnost)</v>
          </cell>
          <cell r="D12" t="str">
            <v>Adjusted value of WACC (for Operator)</v>
          </cell>
        </row>
        <row r="13">
          <cell r="C13" t="str">
            <v>Odhad roční inflace</v>
          </cell>
          <cell r="D13" t="str">
            <v>Forecast inflation</v>
          </cell>
        </row>
        <row r="14">
          <cell r="C14" t="str">
            <v>Cenový index</v>
          </cell>
          <cell r="D14" t="str">
            <v>Inflation index</v>
          </cell>
        </row>
        <row r="15">
          <cell r="C15" t="str">
            <v>Výchozí rok</v>
          </cell>
          <cell r="D15" t="str">
            <v>Base Year</v>
          </cell>
        </row>
        <row r="16">
          <cell r="C16" t="str">
            <v>První období cenové fixace</v>
          </cell>
          <cell r="D16" t="str">
            <v>1st price control period</v>
          </cell>
        </row>
        <row r="17">
          <cell r="C17" t="str">
            <v>Druhé období cenové fixace</v>
          </cell>
          <cell r="D17" t="str">
            <v>2nd price control period</v>
          </cell>
        </row>
        <row r="18">
          <cell r="C18" t="str">
            <v>Vstupy z externích modulů</v>
          </cell>
          <cell r="D18" t="str">
            <v>Inputs from off model modules</v>
          </cell>
        </row>
        <row r="19">
          <cell r="C19" t="str">
            <v>Přímé uživatelské vstupy</v>
          </cell>
          <cell r="D19" t="str">
            <v>Direct inputs</v>
          </cell>
        </row>
        <row r="20">
          <cell r="C20" t="str">
            <v>Přepis předvolených hodnot</v>
          </cell>
          <cell r="D20" t="str">
            <v>User input - overriding default approach</v>
          </cell>
        </row>
        <row r="21">
          <cell r="C21" t="str">
            <v>Údaje mimo modelované období</v>
          </cell>
          <cell r="D21" t="str">
            <v>Data outside time period of relevance</v>
          </cell>
        </row>
        <row r="22">
          <cell r="C22" t="str">
            <v>Takto označené řádky vyžadují některé Přímé uživatelské vstupy</v>
          </cell>
          <cell r="D22" t="str">
            <v>The rows introduced by this sign require some Direct inputs</v>
          </cell>
        </row>
        <row r="23">
          <cell r="C23" t="str">
            <v>Nájemné</v>
          </cell>
          <cell r="D23" t="str">
            <v>Rent</v>
          </cell>
        </row>
        <row r="24">
          <cell r="C24" t="str">
            <v>Výroba</v>
          </cell>
          <cell r="D24" t="str">
            <v>Production</v>
          </cell>
        </row>
        <row r="25">
          <cell r="C25" t="str">
            <v>Voda vyčištěná (vlastní ČOV)</v>
          </cell>
          <cell r="D25" t="str">
            <v>Volume treated by own WWTP</v>
          </cell>
        </row>
        <row r="26">
          <cell r="C26" t="str">
            <v>Voda vyčištěná (jiná ČOV)</v>
          </cell>
          <cell r="D26" t="str">
            <v>Volume treated by other WWTP</v>
          </cell>
        </row>
        <row r="27">
          <cell r="C27" t="str">
            <v>Objem vody vyčištěné</v>
          </cell>
          <cell r="D27" t="str">
            <v>Volume treated</v>
          </cell>
        </row>
        <row r="28">
          <cell r="C28" t="str">
            <v xml:space="preserve"> - objem vody vyrobené</v>
          </cell>
          <cell r="D28" t="str">
            <v xml:space="preserve"> - volume produced</v>
          </cell>
        </row>
        <row r="29">
          <cell r="C29" t="str">
            <v xml:space="preserve"> - objem vody převzaté</v>
          </cell>
          <cell r="D29" t="str">
            <v xml:space="preserve"> - volume purchased in bulk</v>
          </cell>
        </row>
        <row r="30">
          <cell r="C30" t="str">
            <v xml:space="preserve"> - objem vody předané</v>
          </cell>
          <cell r="D30" t="str">
            <v xml:space="preserve"> - volume sold in bulk</v>
          </cell>
        </row>
        <row r="31">
          <cell r="C31" t="str">
            <v>Voda k realizaci</v>
          </cell>
          <cell r="D31" t="str">
            <v>Total input water</v>
          </cell>
        </row>
        <row r="32">
          <cell r="C32" t="str">
            <v xml:space="preserve"> - domácnosti</v>
          </cell>
          <cell r="D32" t="str">
            <v xml:space="preserve"> - households</v>
          </cell>
        </row>
        <row r="33">
          <cell r="C33" t="str">
            <v xml:space="preserve"> - ostatní</v>
          </cell>
          <cell r="D33" t="str">
            <v xml:space="preserve"> - non-households</v>
          </cell>
        </row>
        <row r="34">
          <cell r="C34" t="str">
            <v>(včetně dešťové)</v>
          </cell>
          <cell r="D34" t="str">
            <v>(rainwater included)</v>
          </cell>
        </row>
        <row r="35">
          <cell r="C35" t="str">
            <v>Objem vody dodané - celkem</v>
          </cell>
          <cell r="D35" t="str">
            <v>Total volume supplied</v>
          </cell>
        </row>
        <row r="36">
          <cell r="C36" t="str">
            <v>Objem vody odvedené</v>
          </cell>
          <cell r="D36" t="str">
            <v>Volume collected</v>
          </cell>
        </row>
        <row r="37">
          <cell r="C37" t="str">
            <v>Voda odpadní odváděná fakturovatelná</v>
          </cell>
          <cell r="D37" t="str">
            <v>Wastewater collected and billed</v>
          </cell>
        </row>
        <row r="38">
          <cell r="C38" t="str">
            <v>Úspěšnost výběru pohledávek</v>
          </cell>
          <cell r="D38" t="str">
            <v>Collection Rate</v>
          </cell>
        </row>
        <row r="39">
          <cell r="C39" t="str">
            <v>Vstupní ReHoM</v>
          </cell>
          <cell r="D39" t="str">
            <v>Initial RAB</v>
          </cell>
        </row>
        <row r="40">
          <cell r="C40" t="str">
            <v>Infrastrukturní majetek</v>
          </cell>
          <cell r="D40" t="str">
            <v>Infrastructure assets</v>
          </cell>
        </row>
        <row r="41">
          <cell r="C41" t="str">
            <v>Provozní majetek</v>
          </cell>
          <cell r="D41" t="str">
            <v>Operational assets</v>
          </cell>
        </row>
        <row r="42">
          <cell r="C42" t="str">
            <v>Účetní odpisy stávajícího majetku</v>
          </cell>
          <cell r="D42" t="str">
            <v>Accounting depreciation for existing assets</v>
          </cell>
        </row>
        <row r="43">
          <cell r="C43" t="str">
            <v>Odpisy infrastrukturního majetku</v>
          </cell>
          <cell r="D43" t="str">
            <v>Depreciation of infrastructure assets</v>
          </cell>
        </row>
        <row r="44">
          <cell r="C44" t="str">
            <v>Odpisy provozního majetku</v>
          </cell>
          <cell r="D44" t="str">
            <v>Depreciation of operartional assets</v>
          </cell>
        </row>
        <row r="45">
          <cell r="C45" t="str">
            <v>Regulatorní odpisy stávajícího majetku</v>
          </cell>
          <cell r="D45" t="str">
            <v>Regulatory depreciation for existing assets</v>
          </cell>
        </row>
        <row r="46">
          <cell r="C46" t="str">
            <v>Investiční náklady</v>
          </cell>
          <cell r="D46" t="str">
            <v>Capex</v>
          </cell>
        </row>
        <row r="47">
          <cell r="C47" t="str">
            <v>Odpisy plánovaných investic</v>
          </cell>
          <cell r="D47" t="str">
            <v>Depreciation for planned capex</v>
          </cell>
        </row>
        <row r="48">
          <cell r="C48" t="str">
            <v>(za celou společnost)</v>
          </cell>
          <cell r="D48" t="str">
            <v>(whole company)</v>
          </cell>
        </row>
        <row r="49">
          <cell r="C49" t="str">
            <v xml:space="preserve"> jako % vstupní ceny</v>
          </cell>
          <cell r="D49" t="str">
            <v xml:space="preserve"> as % of original Capex</v>
          </cell>
        </row>
        <row r="50">
          <cell r="C50" t="str">
            <v>Přidělení provozního majetku na danou službu</v>
          </cell>
          <cell r="D50" t="str">
            <v>Apportionment of operational assets to contract</v>
          </cell>
        </row>
        <row r="51">
          <cell r="C51" t="str">
            <v>Odprodej majetku</v>
          </cell>
          <cell r="D51" t="str">
            <v>Asset disposals</v>
          </cell>
        </row>
        <row r="52">
          <cell r="C52" t="str">
            <v>Zásoby</v>
          </cell>
          <cell r="D52" t="str">
            <v>Inventory</v>
          </cell>
        </row>
        <row r="53">
          <cell r="C53" t="str">
            <v>Zbývající předplacené nájemné</v>
          </cell>
          <cell r="D53" t="str">
            <v>Outstanding pre-paid rent and loans</v>
          </cell>
        </row>
        <row r="54">
          <cell r="C54" t="str">
            <v>Zbývající Očekávání</v>
          </cell>
          <cell r="D54" t="str">
            <v>Outstanding Expectations</v>
          </cell>
        </row>
        <row r="55">
          <cell r="C55" t="str">
            <v>Provozní náklady</v>
          </cell>
          <cell r="D55" t="str">
            <v>Opex</v>
          </cell>
        </row>
        <row r="56">
          <cell r="C56" t="str">
            <v>1. Materiál</v>
          </cell>
          <cell r="D56" t="str">
            <v>1. Material</v>
          </cell>
        </row>
        <row r="57">
          <cell r="C57" t="str">
            <v>1.1 surová voda podzemní + povrchová</v>
          </cell>
          <cell r="D57" t="str">
            <v>1.1 raw water - surface and groundwater</v>
          </cell>
        </row>
        <row r="58">
          <cell r="C58" t="str">
            <v>1.2 pitná voda převzatá + odpadní voda předaná k čištění</v>
          </cell>
          <cell r="D58" t="str">
            <v xml:space="preserve">1.2 drinking water purchased in bulk and wastewater </v>
          </cell>
        </row>
        <row r="59">
          <cell r="C59" t="str">
            <v>1.3 chemikálie</v>
          </cell>
          <cell r="D59" t="str">
            <v>1.3 chemicals</v>
          </cell>
        </row>
        <row r="60">
          <cell r="C60" t="str">
            <v>1.4 ostatní materiál</v>
          </cell>
          <cell r="D60" t="str">
            <v>1.4 other material</v>
          </cell>
        </row>
        <row r="61">
          <cell r="C61" t="str">
            <v>2. Energie</v>
          </cell>
          <cell r="D61" t="str">
            <v>2. Energy</v>
          </cell>
        </row>
        <row r="62">
          <cell r="C62" t="str">
            <v>2.1 elektrická energie</v>
          </cell>
          <cell r="D62" t="str">
            <v>2.1 electrical energy</v>
          </cell>
        </row>
        <row r="63">
          <cell r="C63" t="str">
            <v>2.2 ostatní energie (plyn, pevná a kapalná paliva)</v>
          </cell>
          <cell r="D63" t="str">
            <v>2.2 other energy (gaseous, solid and liquid fuels)</v>
          </cell>
        </row>
        <row r="64">
          <cell r="C64" t="str">
            <v>3. Mzdy</v>
          </cell>
          <cell r="D64" t="str">
            <v>3. Wages</v>
          </cell>
        </row>
        <row r="65">
          <cell r="C65" t="str">
            <v>3.1 přímé mzdy</v>
          </cell>
          <cell r="D65" t="str">
            <v>3.1 direct wages</v>
          </cell>
        </row>
        <row r="66">
          <cell r="C66" t="str">
            <v>3.2 ostatní osobní náklady</v>
          </cell>
          <cell r="D66" t="str">
            <v>3.2 other staff costs</v>
          </cell>
        </row>
        <row r="67">
          <cell r="C67" t="str">
            <v>4. Ostatní přímé náklady</v>
          </cell>
          <cell r="D67" t="str">
            <v>4. Other direct costs</v>
          </cell>
        </row>
        <row r="68">
          <cell r="C68" t="str">
            <v>4.1 odpisy a prostředky obnovy infrastrukturního majetku - pouze historické údaje!</v>
          </cell>
          <cell r="D68" t="str">
            <v>4.1 depreciation charges and funds for the renewal of infrastructural assets - historical data only!</v>
          </cell>
        </row>
        <row r="69">
          <cell r="C69" t="str">
            <v>4.2 opravy infrastrukturního majetku</v>
          </cell>
          <cell r="D69" t="str">
            <v>4.2 repairs to infrastructural assets</v>
          </cell>
        </row>
        <row r="70">
          <cell r="C70" t="str">
            <v>4.3 nájem infrastrukturního majetku - pouze historické údaje!</v>
          </cell>
          <cell r="D70" t="str">
            <v>4.3 rental of infrastructural assets - historical data only!</v>
          </cell>
        </row>
        <row r="71">
          <cell r="C71" t="str">
            <v>4.4 poplatky za vypouštění odpadních vod</v>
          </cell>
          <cell r="D71" t="str">
            <v>4.4 wastewater discharge fees</v>
          </cell>
        </row>
        <row r="72">
          <cell r="C72" t="str">
            <v>4.5 ostatní provozní náklady externí</v>
          </cell>
          <cell r="D72" t="str">
            <v>4.5 other operating costs - external</v>
          </cell>
        </row>
        <row r="73">
          <cell r="C73" t="str">
            <v>4.6 ostatní provozní náklady ve vlastní režii</v>
          </cell>
          <cell r="D73" t="str">
            <v>4.6 other own operating costs</v>
          </cell>
        </row>
        <row r="74">
          <cell r="C74" t="str">
            <v>5. Finanční náklady</v>
          </cell>
          <cell r="D74" t="str">
            <v>5. Financial costs - historical data only!</v>
          </cell>
        </row>
        <row r="75">
          <cell r="C75" t="str">
            <v>6. Výrobní režie</v>
          </cell>
          <cell r="D75" t="str">
            <v>6. Production overheads</v>
          </cell>
        </row>
        <row r="76">
          <cell r="C76" t="str">
            <v>z toho odpisy</v>
          </cell>
          <cell r="D76" t="str">
            <v>of which depreciation</v>
          </cell>
        </row>
        <row r="77">
          <cell r="C77" t="str">
            <v>7. Správní režie</v>
          </cell>
          <cell r="D77" t="str">
            <v>7. Administrative overheads</v>
          </cell>
        </row>
        <row r="78">
          <cell r="C78" t="str">
            <v>Celkové vlastní náklady dle kalkulace</v>
          </cell>
          <cell r="D78" t="str">
            <v>Total own costs following calculation</v>
          </cell>
        </row>
        <row r="79">
          <cell r="C79" t="str">
            <v>Celkové vlastní náklady kromě odpisů, nájemného a finančních nákladů</v>
          </cell>
          <cell r="D79" t="str">
            <v>Total own costs excluding depreciation, rent paid to asset owner and financial costs</v>
          </cell>
        </row>
        <row r="80">
          <cell r="C80" t="str">
            <v>Daň z příjmu právnických osob</v>
          </cell>
          <cell r="D80" t="str">
            <v>Corporation tax</v>
          </cell>
        </row>
        <row r="81">
          <cell r="C81" t="str">
            <v>tis. Kč</v>
          </cell>
          <cell r="D81" t="str">
            <v>thou. CZK</v>
          </cell>
        </row>
        <row r="82">
          <cell r="C82" t="str">
            <v>tis. m3/rok</v>
          </cell>
          <cell r="D82" t="str">
            <v>thou. m3/yr</v>
          </cell>
        </row>
        <row r="83">
          <cell r="C83" t="str">
            <v>roky</v>
          </cell>
          <cell r="D83" t="str">
            <v>yrs</v>
          </cell>
        </row>
        <row r="84">
          <cell r="C84" t="str">
            <v>Pracovní kapitál</v>
          </cell>
          <cell r="D84" t="str">
            <v>Working capital</v>
          </cell>
        </row>
        <row r="85">
          <cell r="C85" t="str">
            <v>Očekávání</v>
          </cell>
          <cell r="D85" t="str">
            <v>Expectations</v>
          </cell>
        </row>
        <row r="86">
          <cell r="C86" t="str">
            <v>ReHoK celkem</v>
          </cell>
          <cell r="D86" t="str">
            <v>Total RCV</v>
          </cell>
        </row>
        <row r="87">
          <cell r="C87" t="str">
            <v xml:space="preserve">Požadovaný příjem </v>
          </cell>
          <cell r="D87" t="str">
            <v>Required revenue</v>
          </cell>
        </row>
        <row r="88">
          <cell r="C88" t="str">
            <v>Odpisy - nominální</v>
          </cell>
          <cell r="D88" t="str">
            <v>Depreciation - nominal</v>
          </cell>
        </row>
        <row r="89">
          <cell r="C89" t="str">
            <v>Úprava odpisů o inflaci</v>
          </cell>
          <cell r="D89" t="str">
            <v>Depreciation adjustment for real</v>
          </cell>
        </row>
        <row r="90">
          <cell r="C90" t="str">
            <v>Výnos z ReHoK bez Očekávání</v>
          </cell>
          <cell r="D90" t="str">
            <v>Return on RCV w/o Expectations</v>
          </cell>
        </row>
        <row r="91">
          <cell r="C91" t="str">
            <v>Návratnost Očekávání</v>
          </cell>
          <cell r="D91" t="str">
            <v>Return of Expectations</v>
          </cell>
        </row>
        <row r="92">
          <cell r="C92" t="str">
            <v>Výnos z Očekávání</v>
          </cell>
          <cell r="D92" t="str">
            <v>Return on Expectations</v>
          </cell>
        </row>
        <row r="93">
          <cell r="C93" t="str">
            <v>Celkový Požadovaný příjem</v>
          </cell>
          <cell r="D93" t="str">
            <v>Total required revenue</v>
          </cell>
        </row>
        <row r="94">
          <cell r="C94" t="str">
            <v>Průměrná reálná cena založená na Požadovaném příjmu</v>
          </cell>
          <cell r="D94" t="str">
            <v>Average real price based on required revenue</v>
          </cell>
        </row>
        <row r="95">
          <cell r="C95" t="str">
            <v>Průměrná nomin. cena založená na Požadovaném příjmu</v>
          </cell>
          <cell r="D95" t="str">
            <v>Average nominal price based on required revenue</v>
          </cell>
        </row>
        <row r="96">
          <cell r="C96" t="str">
            <v>POVOLENÝ PŘÍJEM (pokud je relevantní)</v>
          </cell>
          <cell r="D96" t="str">
            <v>ALLOWED REVENUE (if relevant)</v>
          </cell>
        </row>
        <row r="97">
          <cell r="C97" t="str">
            <v>Průměrná reálná cena založená na Povoleném příjmu</v>
          </cell>
          <cell r="D97" t="str">
            <v>Average real price based on allowed revenue</v>
          </cell>
        </row>
        <row r="98">
          <cell r="C98" t="str">
            <v>Průměrná nominální cena založená na Povoleném příjmu</v>
          </cell>
          <cell r="D98" t="str">
            <v>Average nominal price based on allowed revenue</v>
          </cell>
        </row>
        <row r="99">
          <cell r="C99" t="str">
            <v>Kč/m3</v>
          </cell>
          <cell r="D99" t="str">
            <v>CZK/m3</v>
          </cell>
        </row>
        <row r="100">
          <cell r="C100" t="str">
            <v>Počáteční hodnota</v>
          </cell>
          <cell r="D100" t="str">
            <v>Opening value</v>
          </cell>
        </row>
        <row r="101">
          <cell r="C101" t="str">
            <v>Odpisy</v>
          </cell>
          <cell r="D101" t="str">
            <v>Depreciation</v>
          </cell>
        </row>
        <row r="102">
          <cell r="C102" t="str">
            <v>Odprodej</v>
          </cell>
          <cell r="D102" t="str">
            <v>Disposals</v>
          </cell>
        </row>
        <row r="103">
          <cell r="C103" t="str">
            <v>Investice</v>
          </cell>
          <cell r="D103" t="str">
            <v>New Investments</v>
          </cell>
        </row>
        <row r="104">
          <cell r="C104" t="str">
            <v>Odpisy investic</v>
          </cell>
          <cell r="D104" t="str">
            <v>Depriciation of investments</v>
          </cell>
        </row>
        <row r="105">
          <cell r="C105" t="str">
            <v>Konečná hodnota</v>
          </cell>
          <cell r="D105" t="str">
            <v>Closing value</v>
          </cell>
        </row>
        <row r="106">
          <cell r="C106" t="str">
            <v>Pracovní kapitál do budoucna</v>
          </cell>
          <cell r="D106" t="str">
            <v>Forecast Working Capital</v>
          </cell>
        </row>
        <row r="107">
          <cell r="C107" t="str">
            <v>Odhad obratu pro danou službu</v>
          </cell>
          <cell r="D107" t="str">
            <v>Forecast turnover for given service</v>
          </cell>
        </row>
        <row r="108">
          <cell r="C108" t="str">
            <v>Odhad provozních nákladů pro danou službu</v>
          </cell>
          <cell r="D108" t="str">
            <v>Forecast operating costs for given service</v>
          </cell>
        </row>
        <row r="109">
          <cell r="C109" t="str">
            <v>Zásoby vztahující se k dané službě</v>
          </cell>
          <cell r="D109" t="str">
            <v>Inventory employed for given service</v>
          </cell>
        </row>
        <row r="110">
          <cell r="C110" t="str">
            <v>Částečná potřeba Pracovního kapitálu</v>
          </cell>
          <cell r="D110" t="str">
            <v>Part of Working capital needs</v>
          </cell>
        </row>
        <row r="111">
          <cell r="C111" t="str">
            <v>Provozní - účetní odpisy v reálných cenách</v>
          </cell>
          <cell r="D111" t="str">
            <v>Operational - accounting depreciation in real prices</v>
          </cell>
        </row>
        <row r="112">
          <cell r="C112" t="str">
            <v>Infrastrukturní - účetní odpisy v reálných cenách</v>
          </cell>
          <cell r="D112" t="str">
            <v>Infrastructure - accounting depreciation in real prices</v>
          </cell>
        </row>
        <row r="113">
          <cell r="C113" t="str">
            <v>Reálné odpisy</v>
          </cell>
          <cell r="D113" t="str">
            <v>Real depreciation</v>
          </cell>
        </row>
        <row r="114">
          <cell r="C114" t="str">
            <v>Úprava o inflaci</v>
          </cell>
          <cell r="D114" t="str">
            <v>Adjustment for real</v>
          </cell>
        </row>
        <row r="115">
          <cell r="C115" t="str">
            <v xml:space="preserve"> - výnos z Očekávání</v>
          </cell>
          <cell r="D115" t="str">
            <v xml:space="preserve"> - return on Expectations</v>
          </cell>
        </row>
        <row r="116">
          <cell r="C116" t="str">
            <v xml:space="preserve"> - návratnost Očekávání</v>
          </cell>
          <cell r="D116" t="str">
            <v xml:space="preserve"> - return of Expectations</v>
          </cell>
        </row>
        <row r="117">
          <cell r="C117" t="str">
            <v xml:space="preserve"> - výnos a návratnost z Očekávání</v>
          </cell>
          <cell r="D117" t="str">
            <v xml:space="preserve"> - return on and of Expectations</v>
          </cell>
        </row>
        <row r="118">
          <cell r="C118" t="str">
            <v>výpočty</v>
          </cell>
          <cell r="D118" t="str">
            <v>calculation</v>
          </cell>
        </row>
        <row r="119">
          <cell r="C119" t="str">
            <v>Index růstu cen</v>
          </cell>
          <cell r="D119" t="str">
            <v>Index for tariff increas</v>
          </cell>
        </row>
        <row r="120">
          <cell r="C120" t="str">
            <v>Diskontovaný objem produkce indexovaný cenovým růstem</v>
          </cell>
          <cell r="D120" t="str">
            <v>Indexed discounted receivable production</v>
          </cell>
        </row>
        <row r="121">
          <cell r="C121" t="str">
            <v>Cena</v>
          </cell>
          <cell r="D121" t="str">
            <v>Annual water tariff</v>
          </cell>
        </row>
        <row r="122">
          <cell r="C122" t="str">
            <v>Přepínače</v>
          </cell>
          <cell r="D122" t="str">
            <v>Switches</v>
          </cell>
        </row>
        <row r="123">
          <cell r="C123" t="str">
            <v>Nájemné</v>
          </cell>
          <cell r="D123" t="str">
            <v>Rent</v>
          </cell>
        </row>
        <row r="124">
          <cell r="C124" t="str">
            <v>Vodné</v>
          </cell>
          <cell r="D124" t="str">
            <v>Drinking water</v>
          </cell>
        </row>
        <row r="125">
          <cell r="C125" t="str">
            <v>Stočné</v>
          </cell>
          <cell r="D125" t="str">
            <v>Wastewater</v>
          </cell>
        </row>
        <row r="126">
          <cell r="C126" t="str">
            <v>Investiční výdaje dle Plánu financování obnovy</v>
          </cell>
          <cell r="D126" t="str">
            <v>Investments from Asset Renewal Plan</v>
          </cell>
        </row>
        <row r="127">
          <cell r="C127" t="str">
            <v>Finanční potřeba vlastníka</v>
          </cell>
          <cell r="D127" t="str">
            <v>Owner's financial needs</v>
          </cell>
        </row>
        <row r="128">
          <cell r="C128" t="str">
            <v>Provozní náklady vlastníka</v>
          </cell>
          <cell r="D128" t="str">
            <v>Owner's opex</v>
          </cell>
        </row>
        <row r="129">
          <cell r="C129" t="str">
            <v>Celková dluhová služba vlastníka</v>
          </cell>
          <cell r="D129" t="str">
            <v>Owner's total debt service payments</v>
          </cell>
        </row>
        <row r="130">
          <cell r="C130" t="str">
            <v xml:space="preserve"> z toho jistina</v>
          </cell>
          <cell r="D130" t="str">
            <v xml:space="preserve"> of which principal</v>
          </cell>
        </row>
        <row r="131">
          <cell r="C131" t="str">
            <v xml:space="preserve"> z toho úroky</v>
          </cell>
          <cell r="D131" t="str">
            <v xml:space="preserve"> of which interest</v>
          </cell>
        </row>
        <row r="132">
          <cell r="C132" t="str">
            <v>Očekávané daňové povinnosti vlastníka</v>
          </cell>
          <cell r="D132" t="str">
            <v>Owner's expected tax obligations</v>
          </cell>
        </row>
        <row r="133">
          <cell r="C133" t="str">
            <v>Smluvní investice ze strany provozovatele</v>
          </cell>
          <cell r="D133" t="str">
            <v>Operator's investment in infrastructure assets</v>
          </cell>
        </row>
        <row r="134">
          <cell r="C134" t="str">
            <v>Financováno z dotací</v>
          </cell>
          <cell r="D134" t="str">
            <v>Grant finance</v>
          </cell>
        </row>
        <row r="135">
          <cell r="C135" t="str">
            <v>Financováno z úvěru</v>
          </cell>
          <cell r="D135" t="str">
            <v>Debt finance</v>
          </cell>
        </row>
        <row r="136">
          <cell r="C136" t="str">
            <v>Potřeba vlastních zdrojů na obnovu a rozšíření</v>
          </cell>
          <cell r="D136" t="str">
            <v>Financed from own sources</v>
          </cell>
        </row>
        <row r="137">
          <cell r="C137" t="str">
            <v>Investiční výdaje na nové investice nad obnovu</v>
          </cell>
          <cell r="D137" t="str">
            <v>Investments over renewal plan</v>
          </cell>
        </row>
        <row r="138">
          <cell r="C138" t="str">
            <v>Celková roční potřeba vlastních zdrojů</v>
          </cell>
          <cell r="D138" t="str">
            <v>Total annual need of own sources</v>
          </cell>
        </row>
        <row r="139">
          <cell r="C139" t="str">
            <v>Příjem vlastníka</v>
          </cell>
          <cell r="D139" t="str">
            <v>Owner's revenue</v>
          </cell>
        </row>
        <row r="140">
          <cell r="C140" t="str">
            <v>Nájem z vodného</v>
          </cell>
          <cell r="D140" t="str">
            <v xml:space="preserve">Drinking water rent </v>
          </cell>
        </row>
        <row r="141">
          <cell r="C141" t="str">
            <v>Nájem ze stočného</v>
          </cell>
          <cell r="D141" t="str">
            <v xml:space="preserve">Wastewater rent </v>
          </cell>
        </row>
        <row r="142">
          <cell r="C142" t="str">
            <v>Celkem</v>
          </cell>
          <cell r="D142" t="str">
            <v>Total</v>
          </cell>
        </row>
        <row r="143">
          <cell r="C143" t="str">
            <v>Roční potřeba vlastních zdrojů na vodné</v>
          </cell>
          <cell r="D143" t="str">
            <v>Annual requirement for own sources - DW</v>
          </cell>
        </row>
        <row r="144">
          <cell r="C144" t="str">
            <v>Roční potřeba vlastních zdrojů na stočné</v>
          </cell>
          <cell r="D144" t="str">
            <v>Annual requirement for own sources - WW</v>
          </cell>
        </row>
        <row r="145">
          <cell r="C145" t="str">
            <v>Příspěvek vlastníka</v>
          </cell>
          <cell r="D145" t="str">
            <v>Owner's contribution</v>
          </cell>
        </row>
        <row r="146">
          <cell r="C146" t="str">
            <v>Stav účtu hotovosti vlastníka ke konci roku</v>
          </cell>
          <cell r="D146" t="str">
            <v>State of owner's cash balance at start of year</v>
          </cell>
        </row>
        <row r="147">
          <cell r="C147" t="str">
            <v>ÚČET HOTOVOSTI VLASTNÍKA</v>
          </cell>
          <cell r="D147" t="str">
            <v>OWNER'S CASH BALANCE</v>
          </cell>
        </row>
        <row r="148">
          <cell r="C148" t="str">
            <v>Nájemné plus příspěvek vlastníka mínus výdaje</v>
          </cell>
          <cell r="D148" t="str">
            <v>Rent plus owner's contribution minus expenditure</v>
          </cell>
        </row>
        <row r="149">
          <cell r="C149" t="str">
            <v>(vybraná varianta)</v>
          </cell>
          <cell r="D149" t="str">
            <v>(chosen alternative)</v>
          </cell>
        </row>
        <row r="150">
          <cell r="C150" t="str">
            <v>Zbývající prvky ReHoK</v>
          </cell>
          <cell r="D150" t="str">
            <v>The rest of RCV elements</v>
          </cell>
        </row>
        <row r="151">
          <cell r="C151" t="str">
            <v>sazba</v>
          </cell>
          <cell r="D151" t="str">
            <v>rate</v>
          </cell>
        </row>
        <row r="152">
          <cell r="C152" t="str">
            <v>Základ</v>
          </cell>
          <cell r="D152" t="str">
            <v>Base</v>
          </cell>
        </row>
        <row r="153">
          <cell r="C153" t="str">
            <v>VÝSTUPY ZA OBĚ SLOŽKY DOHROMADY</v>
          </cell>
          <cell r="D153" t="str">
            <v>TOTAL OUTPUTS</v>
          </cell>
        </row>
        <row r="154">
          <cell r="C154" t="str">
            <v xml:space="preserve"> celkem</v>
          </cell>
          <cell r="D154" t="str">
            <v xml:space="preserve"> total</v>
          </cell>
        </row>
        <row r="155">
          <cell r="C155" t="str">
            <v>Bílý text v buňkách těchto barev naznačuje vstupní údaj</v>
          </cell>
          <cell r="D155" t="str">
            <v>White text in cells of these colours indicates input data</v>
          </cell>
        </row>
        <row r="156">
          <cell r="C156" t="str">
            <v>Jakýkoliv text v buňkách těchto barev je vstupní údaj</v>
          </cell>
          <cell r="D156" t="str">
            <v>Any text in cells of these colours indicates input data</v>
          </cell>
        </row>
        <row r="157">
          <cell r="C157" t="str">
            <v>bez PK</v>
          </cell>
          <cell r="D157" t="str">
            <v>w/o WC</v>
          </cell>
        </row>
        <row r="158">
          <cell r="C158" t="str">
            <v>Úprava Pož. příjmu o PK</v>
          </cell>
          <cell r="D158" t="str">
            <v>Modified Req. revenue by WC</v>
          </cell>
        </row>
        <row r="159">
          <cell r="C159" t="str">
            <v>příjmová část PK</v>
          </cell>
          <cell r="D159" t="str">
            <v>active WC</v>
          </cell>
        </row>
        <row r="160">
          <cell r="C160" t="str">
            <v>bez příjmové části</v>
          </cell>
          <cell r="D160" t="str">
            <v>w/o active part</v>
          </cell>
        </row>
        <row r="161">
          <cell r="C161" t="str">
            <v>a</v>
          </cell>
          <cell r="D161" t="str">
            <v>and</v>
          </cell>
        </row>
        <row r="162">
          <cell r="C162" t="str">
            <v>PK</v>
          </cell>
          <cell r="D162" t="str">
            <v>WC</v>
          </cell>
        </row>
        <row r="163">
          <cell r="C163" t="str">
            <v>uskutečněných v roce</v>
          </cell>
          <cell r="D163" t="str">
            <v>originating in</v>
          </cell>
        </row>
        <row r="164">
          <cell r="C164" t="str">
            <v>spočítaná</v>
          </cell>
          <cell r="D164" t="str">
            <v>calculated</v>
          </cell>
        </row>
        <row r="165">
          <cell r="C165" t="str">
            <v>uživatelský vstup</v>
          </cell>
          <cell r="D165" t="str">
            <v>user input</v>
          </cell>
        </row>
        <row r="166">
          <cell r="C166" t="str">
            <v>Výše požadovaných cen</v>
          </cell>
          <cell r="D166" t="str">
            <v>Predetermined tariff</v>
          </cell>
        </row>
        <row r="167">
          <cell r="C167" t="str">
            <v>stálé ceny</v>
          </cell>
          <cell r="D167" t="str">
            <v>constant prices</v>
          </cell>
        </row>
        <row r="168">
          <cell r="C168" t="str">
            <v>běžné ceny</v>
          </cell>
          <cell r="D168" t="str">
            <v>current prices</v>
          </cell>
        </row>
        <row r="169">
          <cell r="C169" t="str">
            <v>Nájemné dle stanovené ceny</v>
          </cell>
          <cell r="D169" t="str">
            <v>Rental payment required for desired tariff</v>
          </cell>
        </row>
        <row r="170">
          <cell r="C170" t="str">
            <v>Možnost vzdát se zisku</v>
          </cell>
          <cell r="D170" t="str">
            <v>Voluntary giving up of profit</v>
          </cell>
        </row>
        <row r="171">
          <cell r="C171" t="str">
            <v>Horní hranice odpočtu</v>
          </cell>
          <cell r="D171" t="str">
            <v>Maximum of giving up</v>
          </cell>
        </row>
        <row r="172">
          <cell r="C172" t="str">
            <v>Vzdát se zisku ve výši:</v>
          </cell>
          <cell r="D172" t="str">
            <v>Give up of profit</v>
          </cell>
        </row>
        <row r="173">
          <cell r="C173" t="str">
            <v>SOUHRN</v>
          </cell>
          <cell r="D173" t="str">
            <v>SUMMARY</v>
          </cell>
        </row>
        <row r="174">
          <cell r="C174" t="str">
            <v>po vzdání se zisku</v>
          </cell>
          <cell r="D174" t="str">
            <v>after giving up of profit</v>
          </cell>
        </row>
        <row r="175">
          <cell r="C175" t="str">
            <v>Nájemné koresponduje s cenami</v>
          </cell>
          <cell r="D175" t="str">
            <v>Rent calculated by desired tariff - OK</v>
          </cell>
        </row>
        <row r="176">
          <cell r="C176" t="str">
            <v>Nutný přepočet nájemného</v>
          </cell>
          <cell r="D176" t="str">
            <v>New calculation of rent needed</v>
          </cell>
        </row>
        <row r="177">
          <cell r="C177" t="str">
            <v>Výpočet nájemného dle zadané ceny</v>
          </cell>
          <cell r="D177" t="str">
            <v>Calculation of rent by desired tariff</v>
          </cell>
        </row>
        <row r="178">
          <cell r="C178" t="str">
            <v>Nájemné - přímý uživatelský vstup</v>
          </cell>
          <cell r="D178" t="str">
            <v>Rent - direct user input</v>
          </cell>
        </row>
        <row r="179">
          <cell r="C179" t="str">
            <v>bez DPH</v>
          </cell>
          <cell r="D179" t="str">
            <v>w/o VAT</v>
          </cell>
        </row>
        <row r="180">
          <cell r="C180" t="str">
            <v>Název vlastníka</v>
          </cell>
          <cell r="D180" t="str">
            <v>Name of Owner</v>
          </cell>
        </row>
        <row r="181">
          <cell r="C181" t="str">
            <v>Název provozovatele</v>
          </cell>
          <cell r="D181" t="str">
            <v>Name of Operator</v>
          </cell>
        </row>
        <row r="182">
          <cell r="C182" t="str">
            <v>ve výchozím roce</v>
          </cell>
          <cell r="D182" t="str">
            <v>in base year</v>
          </cell>
        </row>
        <row r="183">
          <cell r="C183" t="str">
            <v>Kč / osobu</v>
          </cell>
          <cell r="D183" t="str">
            <v>CZK/person</v>
          </cell>
        </row>
        <row r="184">
          <cell r="C184" t="str">
            <v>DPH z vodného a stočného</v>
          </cell>
          <cell r="D184" t="str">
            <v>VAT on water services</v>
          </cell>
        </row>
        <row r="185">
          <cell r="C185" t="str">
            <v>l/os/den</v>
          </cell>
          <cell r="D185" t="str">
            <v>l/p/d</v>
          </cell>
        </row>
        <row r="186">
          <cell r="C186" t="str">
            <v>Fyzické ukazatele</v>
          </cell>
          <cell r="D186" t="str">
            <v>Physical indicators</v>
          </cell>
        </row>
        <row r="187">
          <cell r="C187" t="str">
            <v>Objem vody dodané - domácnosti</v>
          </cell>
          <cell r="D187" t="str">
            <v>Volume supplied - households</v>
          </cell>
        </row>
        <row r="188">
          <cell r="C188" t="str">
            <v>Objem vody dodané - ostatní</v>
          </cell>
          <cell r="D188" t="str">
            <v>Volume supplied - non-households</v>
          </cell>
        </row>
        <row r="189">
          <cell r="C189" t="str">
            <v>Voda odpadní odváděná - domácnosti</v>
          </cell>
          <cell r="D189" t="str">
            <v>Wastewater collected - households</v>
          </cell>
        </row>
        <row r="190">
          <cell r="C190" t="str">
            <v>Voda odpadní odváděná - ostatní (včetně dešťové)</v>
          </cell>
          <cell r="D190" t="str">
            <v>Wastewater collected - non-households (rainwater included)</v>
          </cell>
        </row>
        <row r="191">
          <cell r="C191" t="str">
            <v>Cena pro vodné (ve stálých cenách, vč. DPH)</v>
          </cell>
          <cell r="D191" t="str">
            <v>Water tariff (in constant prices, incl. VAT)</v>
          </cell>
        </row>
        <row r="192">
          <cell r="C192" t="str">
            <v>Cena pro stočné (ve stálých cenách, vč. DPH)</v>
          </cell>
          <cell r="D192" t="str">
            <v>Wastewater tariff (in constant prices, incl. VAT)</v>
          </cell>
        </row>
        <row r="193">
          <cell r="C193" t="str">
            <v>budoucnost</v>
          </cell>
          <cell r="D193" t="str">
            <v>future</v>
          </cell>
        </row>
        <row r="194">
          <cell r="C194" t="str">
            <v xml:space="preserve">Požadovaný příjem </v>
          </cell>
          <cell r="D194" t="str">
            <v>Required revenue</v>
          </cell>
        </row>
        <row r="195">
          <cell r="C195" t="str">
            <v>Kč</v>
          </cell>
          <cell r="D195" t="str">
            <v>CZK</v>
          </cell>
        </row>
        <row r="196">
          <cell r="C196" t="str">
            <v>Dlouhodobý deficit v nájemném této složky!</v>
          </cell>
          <cell r="D196" t="str">
            <v>Longterm deficit in rent to Owner!</v>
          </cell>
        </row>
        <row r="197">
          <cell r="C197" t="str">
            <v>Finanční náklady</v>
          </cell>
          <cell r="D197" t="str">
            <v>Financial costs</v>
          </cell>
        </row>
        <row r="198">
          <cell r="C198" t="str">
            <v>Odpisy zahrnuté do výrobní režie</v>
          </cell>
          <cell r="D198" t="str">
            <v>Depreciation included into Production overheads</v>
          </cell>
        </row>
        <row r="199">
          <cell r="C199" t="str">
            <v>Odpisy zahrnuté do správní režie</v>
          </cell>
          <cell r="D199" t="str">
            <v>Depreciation included into Administrative overheads</v>
          </cell>
        </row>
        <row r="200">
          <cell r="C200" t="str">
            <v>Hodnota infrastrukturního majetku podle VÚME</v>
          </cell>
          <cell r="D200" t="str">
            <v>Ifrastructural assets - valued by MoAg methodology</v>
          </cell>
        </row>
        <row r="201">
          <cell r="C201" t="str">
            <v>Pořizovací cena provozního majetku</v>
          </cell>
          <cell r="D201" t="str">
            <v>Purchase value of Operational assets</v>
          </cell>
        </row>
        <row r="202">
          <cell r="C202" t="str">
            <v>Počet pracovníků</v>
          </cell>
          <cell r="D202" t="str">
            <v>Number of employees</v>
          </cell>
        </row>
        <row r="203">
          <cell r="C203" t="str">
            <v>Nominální odpisy investic do provozního majetku v reálných cenách</v>
          </cell>
          <cell r="D203" t="str">
            <v>Nominal depreciation of Operational assets in real prices</v>
          </cell>
        </row>
        <row r="204">
          <cell r="C204" t="str">
            <v>Nominální odpisy investic do infra. majetku v reálných cenách</v>
          </cell>
          <cell r="D204" t="str">
            <v>Nominal depreciation of Infrastructural assets in real prices</v>
          </cell>
        </row>
        <row r="205">
          <cell r="C205" t="str">
            <v>Zisk před zdaněním, z toho</v>
          </cell>
          <cell r="D205" t="str">
            <v>Profit before taxes, including:</v>
          </cell>
        </row>
        <row r="206">
          <cell r="C206" t="str">
            <v>Přiměřený zisk jako % ÚVN</v>
          </cell>
          <cell r="D206" t="str">
            <v>Reasonable profit as % of Total costs</v>
          </cell>
        </row>
        <row r="207">
          <cell r="C207" t="str">
            <v>Dobrovolně snížený zisk jako % ÚVN</v>
          </cell>
          <cell r="D207" t="str">
            <v>Voluntarily decreased profit as  % of Total costs</v>
          </cell>
        </row>
        <row r="208">
          <cell r="C208" t="str">
            <v>Zisk ve vztahu ke Kalkulaci</v>
          </cell>
          <cell r="D208" t="str">
            <v>Profit related to Official MoAg Report</v>
          </cell>
        </row>
        <row r="209">
          <cell r="C209" t="str">
            <v>Přiměřený zisk po snížení před zdaněním</v>
          </cell>
          <cell r="D209" t="str">
            <v>Reasonable profit before tax after voluntary decrease</v>
          </cell>
        </row>
        <row r="210">
          <cell r="C210" t="str">
            <v>Potencionální zisk z titulu nikdy nevybraných pohledávek</v>
          </cell>
          <cell r="D210" t="str">
            <v>Potentional profit at 100% Collection rate</v>
          </cell>
        </row>
        <row r="211">
          <cell r="C211" t="str">
            <v>Kalkulační zisk</v>
          </cell>
          <cell r="D211" t="str">
            <v>Profit for Official MoAg Report</v>
          </cell>
        </row>
        <row r="212">
          <cell r="C212" t="str">
            <v>Kalkulační zisk jako % ÚVN</v>
          </cell>
          <cell r="D212" t="str">
            <v>Profit for Official MoAg Report as % of Totatl costs</v>
          </cell>
        </row>
        <row r="213">
          <cell r="C213" t="str">
            <v>Skutečně uhrazená produkce</v>
          </cell>
          <cell r="D213" t="str">
            <v>Receivable production</v>
          </cell>
        </row>
        <row r="214">
          <cell r="C214" t="str">
            <v>Provozní majetek - přidělený</v>
          </cell>
          <cell r="D214" t="str">
            <v>Operational assets - apportioned</v>
          </cell>
        </row>
        <row r="215">
          <cell r="C215" t="str">
            <v>% změna v ceně</v>
          </cell>
          <cell r="D215" t="str">
            <v>% change in annual tariff</v>
          </cell>
        </row>
        <row r="216">
          <cell r="C216" t="str">
            <v>v běžných cenách</v>
          </cell>
          <cell r="D216" t="str">
            <v>current prices</v>
          </cell>
        </row>
        <row r="217">
          <cell r="C217" t="str">
            <v>provozovatele</v>
          </cell>
          <cell r="D217" t="str">
            <v>of Operator</v>
          </cell>
        </row>
        <row r="218">
          <cell r="C218" t="str">
            <v>bez odpisů</v>
          </cell>
          <cell r="D218" t="str">
            <v>w/o depreciation</v>
          </cell>
        </row>
        <row r="219">
          <cell r="C219" t="str">
            <v>k tomu odpisy</v>
          </cell>
          <cell r="D219" t="str">
            <v>plus depreciation</v>
          </cell>
        </row>
        <row r="220">
          <cell r="C220" t="str">
            <v>odhad</v>
          </cell>
          <cell r="D220" t="str">
            <v>forecast</v>
          </cell>
        </row>
        <row r="221">
          <cell r="C221" t="str">
            <v>skutečnost</v>
          </cell>
          <cell r="D221" t="str">
            <v>actual</v>
          </cell>
        </row>
        <row r="222">
          <cell r="C222" t="str">
            <v>Ex ante odhad</v>
          </cell>
          <cell r="D222" t="str">
            <v>Ex ante estimate</v>
          </cell>
        </row>
        <row r="223">
          <cell r="C223" t="str">
            <v>Index spotřebitelských cen</v>
          </cell>
          <cell r="D223" t="str">
            <v>Consumer Price Index</v>
          </cell>
        </row>
        <row r="224">
          <cell r="C224" t="str">
            <v>Index cen průmyslových výrobců</v>
          </cell>
          <cell r="D224" t="str">
            <v>Industrial Producer Price Index</v>
          </cell>
        </row>
        <row r="225">
          <cell r="C225" t="str">
            <v>Index cen elektrické energie</v>
          </cell>
          <cell r="D225" t="str">
            <v>Electricity Price Index</v>
          </cell>
        </row>
        <row r="226">
          <cell r="C226" t="str">
            <v>Složený index cen energie</v>
          </cell>
          <cell r="D226" t="str">
            <v>Composite Energy Price Index</v>
          </cell>
        </row>
        <row r="227">
          <cell r="C227" t="str">
            <v>Index cen stavebních děl - pitná voda</v>
          </cell>
          <cell r="D227" t="str">
            <v>Water sector civil works price index - DW</v>
          </cell>
        </row>
        <row r="228">
          <cell r="C228" t="str">
            <v>Index cen stavebních děl - odpadní voda</v>
          </cell>
          <cell r="D228" t="str">
            <v>Water sector civil works price index - WW</v>
          </cell>
        </row>
        <row r="229">
          <cell r="C229" t="str">
            <v>Určeno uživatelem</v>
          </cell>
          <cell r="D229" t="str">
            <v>User-defined</v>
          </cell>
        </row>
        <row r="230">
          <cell r="C230" t="str">
            <v>Indexy vztažené k výchozímu roku</v>
          </cell>
          <cell r="D230" t="str">
            <v>Indices rebased to base year</v>
          </cell>
        </row>
        <row r="231">
          <cell r="C231" t="str">
            <v>Změna stálých cen ve srovnání k úrovni výchozího roku</v>
          </cell>
          <cell r="D231" t="str">
            <v>Change in real prices compared to base year</v>
          </cell>
        </row>
        <row r="232">
          <cell r="C232" t="str">
            <v>Pásmo</v>
          </cell>
          <cell r="D232" t="str">
            <v>Band</v>
          </cell>
        </row>
        <row r="233">
          <cell r="C233" t="str">
            <v>První pásmo</v>
          </cell>
          <cell r="D233" t="str">
            <v>First band</v>
          </cell>
        </row>
        <row r="234">
          <cell r="C234" t="str">
            <v>Druhé pásmo</v>
          </cell>
          <cell r="D234" t="str">
            <v>Second band</v>
          </cell>
        </row>
        <row r="235">
          <cell r="C235" t="str">
            <v>Třetí pásmo</v>
          </cell>
          <cell r="D235" t="str">
            <v>Third band</v>
          </cell>
        </row>
        <row r="236">
          <cell r="C236" t="str">
            <v>Od</v>
          </cell>
          <cell r="D236" t="str">
            <v>Greater than</v>
          </cell>
        </row>
        <row r="237">
          <cell r="C237" t="str">
            <v>Do (včetně)</v>
          </cell>
          <cell r="D237" t="str">
            <v>Up to and including</v>
          </cell>
        </row>
        <row r="238">
          <cell r="C238" t="str">
            <v>Podíl úspor odběrateli</v>
          </cell>
          <cell r="D238" t="str">
            <v>Share of savings to Customer</v>
          </cell>
        </row>
        <row r="239">
          <cell r="C239" t="str">
            <v>Průměrný 1-roční PRIBOR k 31.10. roku t-1</v>
          </cell>
          <cell r="D239" t="str">
            <v>Average 1-year PRIBOR on 31st October of year t-1</v>
          </cell>
        </row>
        <row r="240">
          <cell r="C240" t="str">
            <v>Práh použití penále</v>
          </cell>
          <cell r="D240" t="str">
            <v>Threshold for application of punitive carrying charge</v>
          </cell>
        </row>
        <row r="241">
          <cell r="C241" t="str">
            <v>Nárůst v PRIBOR základní úrokové sazby</v>
          </cell>
          <cell r="D241" t="str">
            <v>Increase in PRIBOR for basic interest rate</v>
          </cell>
        </row>
        <row r="242">
          <cell r="C242" t="str">
            <v>Zvýšení základní úrokové sazby úroků z dlužné částky</v>
          </cell>
          <cell r="D242" t="str">
            <v>Increase in basic interest rate for punitive carrying charge</v>
          </cell>
        </row>
        <row r="243">
          <cell r="C243" t="str">
            <v>Úrokové sazby</v>
          </cell>
          <cell r="D243" t="str">
            <v>Interest rates</v>
          </cell>
        </row>
        <row r="244">
          <cell r="C244" t="str">
            <v>Výběr odpovídajícího indexu</v>
          </cell>
          <cell r="D244" t="str">
            <v>Choosing of relevant index</v>
          </cell>
        </row>
        <row r="245">
          <cell r="C245" t="str">
            <v>Přiřazené indexy</v>
          </cell>
          <cell r="D245" t="str">
            <v>Relevant indices</v>
          </cell>
        </row>
        <row r="246">
          <cell r="C246" t="str">
            <v>3.1+3.2 osobní náklady</v>
          </cell>
          <cell r="D246" t="str">
            <v>3.1+3.2 staff costs</v>
          </cell>
        </row>
        <row r="247">
          <cell r="C247" t="str">
            <v>6. Výrobní režie</v>
          </cell>
          <cell r="D247" t="str">
            <v>6. Production overheads</v>
          </cell>
        </row>
        <row r="248">
          <cell r="C248" t="str">
            <v>7. Správní režie</v>
          </cell>
          <cell r="D248" t="str">
            <v>7. Administrative overheads</v>
          </cell>
        </row>
        <row r="249">
          <cell r="C249" t="str">
            <v>Nerelevantní</v>
          </cell>
          <cell r="D249" t="str">
            <v>Not relevant</v>
          </cell>
        </row>
        <row r="250">
          <cell r="C250" t="str">
            <v>Použitý index</v>
          </cell>
          <cell r="D250" t="str">
            <v>Index to be used (if any)</v>
          </cell>
        </row>
        <row r="251">
          <cell r="C251" t="str">
            <v>Hodnoty ex post</v>
          </cell>
          <cell r="D251" t="str">
            <v>Ex post values</v>
          </cell>
        </row>
        <row r="252">
          <cell r="C252" t="str">
            <v>'Odhad'</v>
          </cell>
          <cell r="D252" t="str">
            <v>Forecast</v>
          </cell>
        </row>
        <row r="253">
          <cell r="C253" t="str">
            <v>'Skutečnost'</v>
          </cell>
          <cell r="D253" t="str">
            <v>Actual</v>
          </cell>
        </row>
        <row r="254">
          <cell r="C254" t="str">
            <v>Investice v roce</v>
          </cell>
          <cell r="D254" t="str">
            <v>Investment in the year</v>
          </cell>
        </row>
        <row r="255">
          <cell r="C255" t="str">
            <v>Odprodej majetku v roce</v>
          </cell>
          <cell r="D255" t="str">
            <v>Disposals in the year</v>
          </cell>
        </row>
        <row r="256">
          <cell r="C256" t="str">
            <v>Odpisy investice z roku</v>
          </cell>
          <cell r="D256" t="str">
            <v>Depreciation of investment from the year</v>
          </cell>
        </row>
        <row r="257">
          <cell r="C257" t="str">
            <v>Přidělení provozního majetku na danou službu</v>
          </cell>
          <cell r="D257" t="str">
            <v>Apportionment of operational assets to contract</v>
          </cell>
        </row>
        <row r="258">
          <cell r="C258" t="str">
            <v>PITNÁ VODA</v>
          </cell>
          <cell r="D258" t="str">
            <v>DRINKING WATER</v>
          </cell>
        </row>
        <row r="259">
          <cell r="C259" t="str">
            <v>ODPADNÍ VODA</v>
          </cell>
          <cell r="D259" t="str">
            <v>WASTEWATER</v>
          </cell>
        </row>
        <row r="260">
          <cell r="C260" t="str">
            <v>Hodnota ex ante</v>
          </cell>
          <cell r="D260" t="str">
            <v>Ex ante value</v>
          </cell>
        </row>
        <row r="261">
          <cell r="C261" t="str">
            <v>Finanční model</v>
          </cell>
          <cell r="D261" t="str">
            <v>Financial model</v>
          </cell>
        </row>
        <row r="262">
          <cell r="C262" t="str">
            <v>Investice do provozního majetku</v>
          </cell>
          <cell r="D262" t="str">
            <v>Operational capex</v>
          </cell>
        </row>
        <row r="263">
          <cell r="C263" t="str">
            <v xml:space="preserve"> - odpisy</v>
          </cell>
          <cell r="D263" t="str">
            <v xml:space="preserve"> - depreciation</v>
          </cell>
        </row>
        <row r="264">
          <cell r="C264" t="str">
            <v xml:space="preserve"> - odprodej majetku</v>
          </cell>
          <cell r="D264" t="str">
            <v xml:space="preserve"> - assets sales</v>
          </cell>
        </row>
        <row r="265">
          <cell r="C265" t="str">
            <v>Investice do infrastrukturního majetku</v>
          </cell>
          <cell r="D265" t="str">
            <v>Infrastructural capex</v>
          </cell>
        </row>
        <row r="266">
          <cell r="C266" t="str">
            <v>ReHoK</v>
          </cell>
          <cell r="D266" t="str">
            <v>RCV</v>
          </cell>
        </row>
        <row r="267">
          <cell r="C267" t="str">
            <v>Předplacené nájemné</v>
          </cell>
          <cell r="D267" t="str">
            <v>Pre-paid rent</v>
          </cell>
        </row>
        <row r="268">
          <cell r="C268" t="str">
            <v>ReHoK (ke konci roku)</v>
          </cell>
          <cell r="D268" t="str">
            <v>RCV (at year end)</v>
          </cell>
        </row>
        <row r="269">
          <cell r="C269" t="str">
            <v>Odpisy - nominální</v>
          </cell>
          <cell r="D269" t="str">
            <v>Depreciation - nominal</v>
          </cell>
        </row>
        <row r="270">
          <cell r="C270" t="str">
            <v>Zisk před zdaněním, z toho</v>
          </cell>
          <cell r="D270" t="str">
            <v>Profit before taxes, including:</v>
          </cell>
        </row>
        <row r="271">
          <cell r="C271" t="str">
            <v>Úprava odpisů o inflaci</v>
          </cell>
          <cell r="D271" t="str">
            <v>Depreciation adjustment for real</v>
          </cell>
        </row>
        <row r="272">
          <cell r="C272" t="str">
            <v>Výnos z ReHoK bez Očekávání</v>
          </cell>
          <cell r="D272" t="str">
            <v>Return on RCV w/o Expectations</v>
          </cell>
        </row>
        <row r="273">
          <cell r="C273" t="str">
            <v>Návratnost Očekávání</v>
          </cell>
          <cell r="D273" t="str">
            <v>Return of Expectations</v>
          </cell>
        </row>
        <row r="274">
          <cell r="C274" t="str">
            <v>Výnos z Očekávání</v>
          </cell>
          <cell r="D274" t="str">
            <v>Return on Expectations</v>
          </cell>
        </row>
        <row r="275">
          <cell r="C275" t="str">
            <v>Daň z příjmu právnických osob</v>
          </cell>
          <cell r="D275" t="str">
            <v>Corporation tax</v>
          </cell>
        </row>
        <row r="276">
          <cell r="C276" t="str">
            <v>Průměrná reálná cena založená na Požadovaném příjmu</v>
          </cell>
          <cell r="D276" t="str">
            <v>Average real price based on required revenue</v>
          </cell>
        </row>
        <row r="277">
          <cell r="C277" t="str">
            <v>Úspěšnost výběru pohledávek</v>
          </cell>
          <cell r="D277" t="str">
            <v>Collection rate</v>
          </cell>
        </row>
        <row r="278">
          <cell r="C278" t="str">
            <v>Fixní náklady</v>
          </cell>
          <cell r="D278" t="str">
            <v>Fixed costs</v>
          </cell>
        </row>
        <row r="279">
          <cell r="C279" t="str">
            <v>Objem vody dodané</v>
          </cell>
          <cell r="D279" t="str">
            <v>Volume supplied</v>
          </cell>
        </row>
        <row r="280">
          <cell r="C280" t="str">
            <v>Hodnota psí</v>
          </cell>
          <cell r="D280" t="str">
            <v>Value of psi</v>
          </cell>
        </row>
        <row r="281">
          <cell r="C281" t="str">
            <v>Náklady dle objemu</v>
          </cell>
          <cell r="D281" t="str">
            <v>Volume related Costs</v>
          </cell>
        </row>
        <row r="282">
          <cell r="C282" t="str">
            <v>Náklady dle objemu s promítnutím  - na m3 čerpané, čištěné, vyrobené vody</v>
          </cell>
          <cell r="D282" t="str">
            <v>True pass through   - per m3 pumped, treated, produced</v>
          </cell>
        </row>
        <row r="283">
          <cell r="C283" t="str">
            <v>Náklady dle objemu indexované  - na m3 čerpané, čištěné, vyrobené vody</v>
          </cell>
          <cell r="D283" t="str">
            <v>Indexed   - per m3 pumped, treated, produced</v>
          </cell>
        </row>
        <row r="284">
          <cell r="C284" t="str">
            <v>Nová infrastruktura</v>
          </cell>
          <cell r="D284" t="str">
            <v>New infrastructure</v>
          </cell>
        </row>
        <row r="285">
          <cell r="C285" t="str">
            <v>Celkové provozní náklady</v>
          </cell>
          <cell r="D285" t="str">
            <v>Total opex</v>
          </cell>
        </row>
        <row r="286">
          <cell r="C286" t="str">
            <v>Harmonogram realizace</v>
          </cell>
          <cell r="D286" t="str">
            <v>Timeline for implementation</v>
          </cell>
        </row>
        <row r="287">
          <cell r="C287" t="str">
            <v>První - rozšíření sítě</v>
          </cell>
          <cell r="D287" t="str">
            <v>First - extension of network</v>
          </cell>
        </row>
        <row r="288">
          <cell r="C288" t="str">
            <v>nové zařízení (a odstranění starého)</v>
          </cell>
          <cell r="D288" t="str">
            <v>new object (and removal of old)</v>
          </cell>
        </row>
        <row r="289">
          <cell r="C289" t="str">
            <v>Druhý</v>
          </cell>
          <cell r="D289" t="str">
            <v>Second</v>
          </cell>
        </row>
        <row r="290">
          <cell r="C290" t="str">
            <v>Třetí</v>
          </cell>
          <cell r="D290" t="str">
            <v>Third</v>
          </cell>
        </row>
        <row r="291">
          <cell r="C291" t="str">
            <v>Čtvrtý</v>
          </cell>
          <cell r="D291" t="str">
            <v>Fourth</v>
          </cell>
        </row>
        <row r="292">
          <cell r="C292" t="str">
            <v>Rozšíření sítě</v>
          </cell>
          <cell r="D292" t="str">
            <v>Extension of network</v>
          </cell>
        </row>
        <row r="293">
          <cell r="C293" t="str">
            <v>První investiční program</v>
          </cell>
          <cell r="D293" t="str">
            <v>First Programme</v>
          </cell>
        </row>
        <row r="294">
          <cell r="C294" t="str">
            <v>Druhý investiční program</v>
          </cell>
          <cell r="D294" t="str">
            <v>Second Programme</v>
          </cell>
        </row>
        <row r="295">
          <cell r="C295" t="str">
            <v>Třetí investiční program</v>
          </cell>
          <cell r="D295" t="str">
            <v>Third Programme</v>
          </cell>
        </row>
        <row r="296">
          <cell r="C296" t="str">
            <v>Čtvrtý investiční program</v>
          </cell>
          <cell r="D296" t="str">
            <v>Fourth Programme</v>
          </cell>
        </row>
        <row r="297">
          <cell r="C297" t="str">
            <v>Počet přípojek</v>
          </cell>
          <cell r="D297" t="str">
            <v>Number of connections</v>
          </cell>
        </row>
        <row r="298">
          <cell r="C298" t="str">
            <v>současný</v>
          </cell>
          <cell r="D298" t="str">
            <v>now</v>
          </cell>
        </row>
        <row r="299">
          <cell r="C299" t="str">
            <v>nové</v>
          </cell>
          <cell r="D299" t="str">
            <v>new</v>
          </cell>
        </row>
        <row r="300">
          <cell r="C300" t="str">
            <v>Další investiční programy</v>
          </cell>
          <cell r="D300" t="str">
            <v>Other programmes</v>
          </cell>
        </row>
        <row r="301">
          <cell r="C301" t="str">
            <v>Rok zavedení ex ante přístupu</v>
          </cell>
          <cell r="D301" t="str">
            <v>First year of ex ante</v>
          </cell>
        </row>
        <row r="302">
          <cell r="C302" t="str">
            <v>Fixní náklady s počátečním vyrovnáním (dle skutečnosti)</v>
          </cell>
          <cell r="D302" t="str">
            <v>Fixed cost initial period true up</v>
          </cell>
        </row>
        <row r="303">
          <cell r="C303" t="str">
            <v>Náklady dle počtu přípojek</v>
          </cell>
          <cell r="D303" t="str">
            <v>Customer number related</v>
          </cell>
        </row>
        <row r="304">
          <cell r="C304" t="str">
            <v>na jednu přípojku</v>
          </cell>
          <cell r="D304" t="str">
            <v>per customer connection</v>
          </cell>
        </row>
        <row r="305">
          <cell r="C305" t="str">
            <v>původní</v>
          </cell>
          <cell r="D305" t="str">
            <v>old</v>
          </cell>
        </row>
        <row r="306">
          <cell r="C306" t="str">
            <v>Objem</v>
          </cell>
          <cell r="D306" t="str">
            <v>Volume</v>
          </cell>
        </row>
        <row r="307">
          <cell r="C307" t="str">
            <v>Náklady dle objemu s promítnutím  - celkem</v>
          </cell>
          <cell r="D307" t="str">
            <v>True pass through   - total</v>
          </cell>
        </row>
        <row r="308">
          <cell r="C308" t="str">
            <v>Náklady dle objemu indexované  - celkem</v>
          </cell>
          <cell r="D308" t="str">
            <v>Volume related indexed   - total</v>
          </cell>
        </row>
        <row r="309">
          <cell r="C309" t="str">
            <v>Počet nových přípojek celkem</v>
          </cell>
          <cell r="D309" t="str">
            <v>Number of new connections total</v>
          </cell>
        </row>
        <row r="310">
          <cell r="C310" t="str">
            <v>původní infrastruktura</v>
          </cell>
          <cell r="D310" t="str">
            <v>original infrastructure</v>
          </cell>
        </row>
        <row r="311">
          <cell r="C311" t="str">
            <v>Odstranění původní infrastruktury</v>
          </cell>
          <cell r="D311" t="str">
            <v>Removal of old infrastructure</v>
          </cell>
        </row>
        <row r="312">
          <cell r="C312" t="str">
            <v>ReHoK x VaPNaK</v>
          </cell>
          <cell r="D312" t="str">
            <v>RCV x WACC</v>
          </cell>
        </row>
        <row r="313">
          <cell r="C313" t="str">
            <v>Použitá úroková míra</v>
          </cell>
          <cell r="D313" t="str">
            <v>Applicable interest rate</v>
          </cell>
        </row>
        <row r="314">
          <cell r="C314" t="str">
            <v>AR - Nájemné (1)</v>
          </cell>
          <cell r="D314" t="str">
            <v>AR - Rent (1)</v>
          </cell>
        </row>
        <row r="315">
          <cell r="C315" t="str">
            <v>(Wt-2) / (AR - Nájemné) (2/1)</v>
          </cell>
          <cell r="D315" t="str">
            <v>(Wt-2) / (AR - Rent) (2/1)</v>
          </cell>
        </row>
        <row r="316">
          <cell r="C316" t="str">
            <v>Častka měnící roční příjem</v>
          </cell>
          <cell r="D316" t="str">
            <v>Amount changing annual revenue</v>
          </cell>
        </row>
        <row r="317">
          <cell r="C317" t="str">
            <v>Hodnota bez úroků z dlužné částky</v>
          </cell>
          <cell r="D317" t="str">
            <v>Amount before carrying charge</v>
          </cell>
        </row>
        <row r="318">
          <cell r="C318" t="str">
            <v>Úroky z dlužné částky</v>
          </cell>
          <cell r="D318" t="str">
            <v>Carrying charge</v>
          </cell>
        </row>
        <row r="319">
          <cell r="C319" t="str">
            <v>Část dělených úspor plynoucích Odběrateli</v>
          </cell>
          <cell r="D319" t="str">
            <v>Shared savings to be paid to Customer at 'wash up'</v>
          </cell>
        </row>
        <row r="320">
          <cell r="C320" t="str">
            <v>Celková částka měnící roční příjem</v>
          </cell>
          <cell r="D320" t="str">
            <v>Total change of annual revenue</v>
          </cell>
        </row>
        <row r="321">
          <cell r="C321" t="str">
            <v>Výpočet ceny pro daný rok</v>
          </cell>
          <cell r="D321" t="str">
            <v>Tariff calculation for given year</v>
          </cell>
        </row>
        <row r="322">
          <cell r="C322" t="str">
            <v>Požadovaný příjem ex ante</v>
          </cell>
          <cell r="D322" t="str">
            <v>Ex ante revenue requirement</v>
          </cell>
        </row>
        <row r="323">
          <cell r="C323" t="str">
            <v>Nově požadovaný příjem</v>
          </cell>
          <cell r="D323" t="str">
            <v>New revenue requirement</v>
          </cell>
        </row>
        <row r="324">
          <cell r="C324" t="str">
            <v>Položka</v>
          </cell>
          <cell r="D324" t="str">
            <v>Item</v>
          </cell>
        </row>
        <row r="325">
          <cell r="C325" t="str">
            <v>Analýza</v>
          </cell>
          <cell r="D325" t="str">
            <v>Analysis</v>
          </cell>
        </row>
        <row r="326">
          <cell r="C326" t="str">
            <v>Ve stálých cenách</v>
          </cell>
          <cell r="D326" t="str">
            <v>In real terms</v>
          </cell>
        </row>
        <row r="327">
          <cell r="C327" t="str">
            <v xml:space="preserve">V běžných cenách </v>
          </cell>
          <cell r="D327" t="str">
            <v>In nominal terms</v>
          </cell>
        </row>
        <row r="328">
          <cell r="C328" t="str">
            <v>Konečné provozní náklady použité při tvorbě cen</v>
          </cell>
          <cell r="D328" t="str">
            <v>Opex finally used for price setting</v>
          </cell>
        </row>
        <row r="329">
          <cell r="C329" t="str">
            <v>Ex post kalkulace požadovaný příjem</v>
          </cell>
          <cell r="D329" t="str">
            <v>Revenue requirement for ex post calculations</v>
          </cell>
        </row>
        <row r="330">
          <cell r="C330" t="str">
            <v>'Vyrovnání dle skutečných hodnot'</v>
          </cell>
          <cell r="D330" t="str">
            <v>'Correction based on audited values (wash up)'</v>
          </cell>
        </row>
        <row r="331">
          <cell r="C331" t="str">
            <v>'Vyrovnání dle odhadu'</v>
          </cell>
          <cell r="D331" t="str">
            <v>'Correction based on re-forecast values'</v>
          </cell>
        </row>
        <row r="332">
          <cell r="C332" t="str">
            <v>Ceny</v>
          </cell>
          <cell r="D332" t="str">
            <v>Tariffs</v>
          </cell>
        </row>
        <row r="333">
          <cell r="C333" t="str">
            <v>Cena ex ante</v>
          </cell>
          <cell r="D333" t="str">
            <v>Ex ante tariff</v>
          </cell>
        </row>
        <row r="334">
          <cell r="C334" t="str">
            <v>Skutečná cena</v>
          </cell>
          <cell r="D334" t="str">
            <v>Actual tariff</v>
          </cell>
        </row>
        <row r="335">
          <cell r="C335" t="str">
            <v>STRUČNÝ SOUHRN</v>
          </cell>
          <cell r="D335" t="str">
            <v>BRIEF SUMMARY</v>
          </cell>
        </row>
        <row r="336">
          <cell r="C336" t="str">
            <v>Kalkulace úspor provozních nákladů (pouze indexované)</v>
          </cell>
          <cell r="D336" t="str">
            <v>Calculation of opex savings (for indexed cost items)</v>
          </cell>
        </row>
        <row r="337">
          <cell r="C337" t="str">
            <v>Dělení užitků z úspor v nákladech</v>
          </cell>
          <cell r="D337" t="str">
            <v>Sharing of cost savings</v>
          </cell>
        </row>
        <row r="338">
          <cell r="C338" t="str">
            <v>Rok zahájení výstavby</v>
          </cell>
          <cell r="D338" t="str">
            <v>First year of implementation</v>
          </cell>
        </row>
        <row r="339">
          <cell r="C339" t="str">
            <v>Skutečné hodnoty při přezkoumání 'Skutečnost'</v>
          </cell>
          <cell r="D339" t="str">
            <v>Actual values as at 'Actual'</v>
          </cell>
        </row>
        <row r="340">
          <cell r="C340" t="str">
            <v>Indexované náklady ve výši zahrnuté do ceny</v>
          </cell>
          <cell r="D340" t="str">
            <v>Fixed costs at value generating price</v>
          </cell>
        </row>
        <row r="341">
          <cell r="C341" t="str">
            <v>Skutečné indexované provozní náklady</v>
          </cell>
          <cell r="D341" t="str">
            <v>Actual fixed costs</v>
          </cell>
        </row>
        <row r="342">
          <cell r="C342" t="str">
            <v>Celkové úspory</v>
          </cell>
          <cell r="D342" t="str">
            <v>Total savings</v>
          </cell>
        </row>
        <row r="343">
          <cell r="C343" t="str">
            <v>Celkové úspory jako % fixních nákladů</v>
          </cell>
          <cell r="D343" t="str">
            <v>Total savings as % of fixed costs</v>
          </cell>
        </row>
        <row r="344">
          <cell r="C344" t="str">
            <v>Hranice mezi prvním a druhým pásmem</v>
          </cell>
          <cell r="D344" t="str">
            <v>Border between first and second band</v>
          </cell>
        </row>
        <row r="345">
          <cell r="C345" t="str">
            <v>Hranice mezi druhým a třetím pásmem</v>
          </cell>
          <cell r="D345" t="str">
            <v>Border between second and third band</v>
          </cell>
        </row>
        <row r="346">
          <cell r="C346" t="str">
            <v>Platba Odběratelům</v>
          </cell>
          <cell r="D346" t="str">
            <v>Payment to Customers</v>
          </cell>
        </row>
        <row r="347">
          <cell r="C347" t="str">
            <v>Stávající majetek</v>
          </cell>
          <cell r="D347" t="str">
            <v>Existing assets</v>
          </cell>
        </row>
        <row r="348">
          <cell r="C348" t="str">
            <v>Regulatorní odpisy (stálé ceny výchozího roku)</v>
          </cell>
          <cell r="D348" t="str">
            <v>Regulatory depreciation (constant prices from base year)</v>
          </cell>
        </row>
        <row r="349">
          <cell r="C349" t="str">
            <v>Účetní odpisy</v>
          </cell>
          <cell r="D349" t="str">
            <v>Accounting depreciation</v>
          </cell>
        </row>
        <row r="350">
          <cell r="C350" t="str">
            <v>Nominální</v>
          </cell>
          <cell r="D350" t="str">
            <v>Nominal</v>
          </cell>
        </row>
        <row r="351">
          <cell r="C351" t="str">
            <v>Upravená hodnota VaPNaK</v>
          </cell>
          <cell r="D351" t="str">
            <v>Adjusted value of WACC</v>
          </cell>
        </row>
        <row r="352">
          <cell r="C352" t="str">
            <v>Pro rok</v>
          </cell>
          <cell r="D352" t="str">
            <v>For year</v>
          </cell>
        </row>
        <row r="353">
          <cell r="C353" t="str">
            <v>Skutečné provozní náklady</v>
          </cell>
          <cell r="D353" t="str">
            <v>Actual opex</v>
          </cell>
        </row>
        <row r="354">
          <cell r="C354" t="str">
            <v>Vyrovnávací platba</v>
          </cell>
          <cell r="D354" t="str">
            <v>Compensation payment</v>
          </cell>
        </row>
        <row r="355">
          <cell r="C355" t="str">
            <v>Ex ante hodnoty po zavedení přístupu ex ante v roce</v>
          </cell>
          <cell r="D355" t="str">
            <v>Ex ante values after ex ante approach applied in year</v>
          </cell>
        </row>
        <row r="356">
          <cell r="C356" t="str">
            <v>Zbytek systému</v>
          </cell>
          <cell r="D356" t="str">
            <v>Rest of system</v>
          </cell>
        </row>
        <row r="357">
          <cell r="C357" t="str">
            <v>Pevná složka ceny</v>
          </cell>
          <cell r="D357" t="str">
            <v>Fixed part tariff</v>
          </cell>
        </row>
        <row r="358">
          <cell r="C358" t="str">
            <v>Kategorie</v>
          </cell>
          <cell r="D358" t="str">
            <v>Categories</v>
          </cell>
        </row>
        <row r="359">
          <cell r="C359" t="str">
            <v>Pevná složka jako % příjmu</v>
          </cell>
          <cell r="D359" t="str">
            <v>Fixed part in %</v>
          </cell>
        </row>
        <row r="360">
          <cell r="C360" t="str">
            <v>Konstanty pevné složky</v>
          </cell>
          <cell r="D360" t="str">
            <v>Invariables of fixed part</v>
          </cell>
        </row>
        <row r="361">
          <cell r="C361" t="str">
            <v>Počet proměnných v kategorii</v>
          </cell>
          <cell r="D361" t="str">
            <v>Volume of variables in category</v>
          </cell>
        </row>
        <row r="362">
          <cell r="C362" t="str">
            <v>Dvousložková cena?</v>
          </cell>
          <cell r="D362" t="str">
            <v>Fixed part tariff?</v>
          </cell>
        </row>
        <row r="363">
          <cell r="C363" t="str">
            <v>Kč/rok</v>
          </cell>
          <cell r="D363" t="str">
            <v>CZK/year</v>
          </cell>
        </row>
        <row r="364">
          <cell r="C364" t="str">
            <v>Variabilní složka ceny</v>
          </cell>
          <cell r="D364" t="str">
            <v>Variable part tariff</v>
          </cell>
        </row>
        <row r="365">
          <cell r="C365" t="str">
            <v>Voda srážková fakturovaná</v>
          </cell>
          <cell r="D365" t="str">
            <v>Rainwater billed</v>
          </cell>
        </row>
        <row r="366">
          <cell r="C366" t="str">
            <v>Pitná nebo odpadní voda převzatá</v>
          </cell>
          <cell r="D366" t="str">
            <v>Drinking water and wastewater puchased in bulk</v>
          </cell>
        </row>
        <row r="367">
          <cell r="C367" t="str">
            <v>Kalkulace</v>
          </cell>
          <cell r="D367" t="str">
            <v>Submission</v>
          </cell>
        </row>
        <row r="368">
          <cell r="C368" t="str">
            <v>Procentuelní rozdělení odpisů mezi výrobní a správní režii</v>
          </cell>
          <cell r="D368" t="str">
            <v>% allocation of depreciation between Production and Administrative overheads</v>
          </cell>
        </row>
        <row r="369">
          <cell r="C369" t="str">
            <v>Pitná nebo odpadní voda předaná</v>
          </cell>
          <cell r="D369" t="str">
            <v>Drinking water and wastewater sold in bulk</v>
          </cell>
        </row>
        <row r="370">
          <cell r="C370" t="str">
            <v>Sazba DPH</v>
          </cell>
          <cell r="D370" t="str">
            <v>VAT rate</v>
          </cell>
        </row>
        <row r="371">
          <cell r="C371" t="str">
            <v>Provozní odpisy přidělené do Výrobní režie</v>
          </cell>
          <cell r="D371" t="str">
            <v>Depreciation allocated to Production overheads</v>
          </cell>
        </row>
        <row r="372">
          <cell r="C372" t="str">
            <v>Provozní odpisy přidělené do Správní režie</v>
          </cell>
          <cell r="D372" t="str">
            <v>Depreciation allocated to Administrative overheads</v>
          </cell>
        </row>
        <row r="373">
          <cell r="C373" t="str">
            <v>Hodnota infrastruktur.m.podle VÚME</v>
          </cell>
          <cell r="D373" t="str">
            <v>Infrastructural assets valued by MoAg methodology</v>
          </cell>
        </row>
        <row r="374">
          <cell r="C374" t="str">
            <v>Pořizovací cena provozního maj.</v>
          </cell>
          <cell r="D374" t="str">
            <v>Purchase price of Operational assets</v>
          </cell>
        </row>
        <row r="375">
          <cell r="C375" t="str">
            <v>Příjem z pevné složky</v>
          </cell>
          <cell r="D375" t="str">
            <v>Fixed part tariff revenue</v>
          </cell>
        </row>
        <row r="376">
          <cell r="C376" t="str">
            <v>Požadovaná cena</v>
          </cell>
          <cell r="D376" t="str">
            <v>Desired tariff</v>
          </cell>
        </row>
        <row r="377">
          <cell r="C377" t="str">
            <v>Záloha na vyrovnávací platbu</v>
          </cell>
          <cell r="D377" t="str">
            <v>Advance compensation payment</v>
          </cell>
        </row>
        <row r="378">
          <cell r="C378" t="str">
            <v>Konečná vyrovnávací platba</v>
          </cell>
          <cell r="D378" t="str">
            <v>Final compensation payment</v>
          </cell>
        </row>
        <row r="379">
          <cell r="C379" t="str">
            <v>Upravené nájemné</v>
          </cell>
          <cell r="D379" t="str">
            <v>Modified rent</v>
          </cell>
        </row>
        <row r="380">
          <cell r="C380" t="str">
            <v>faktor 'z'</v>
          </cell>
          <cell r="D380" t="str">
            <v>factor 'z'</v>
          </cell>
        </row>
        <row r="381">
          <cell r="C381" t="str">
            <v>Odpadní vody z jiných zdrojů</v>
          </cell>
          <cell r="D381" t="str">
            <v>Sewage from other sources</v>
          </cell>
        </row>
        <row r="382">
          <cell r="C382" t="str">
            <v>Příjem z odpadních vod z jiných zdrojů</v>
          </cell>
          <cell r="D382" t="str">
            <v>Revenue on sewage from other sources</v>
          </cell>
        </row>
        <row r="383">
          <cell r="C383" t="str">
            <v>aktualizovaný</v>
          </cell>
          <cell r="D383" t="str">
            <v>actualized</v>
          </cell>
        </row>
        <row r="384">
          <cell r="C384" t="str">
            <v>Faktor dělby úspor inv. nákladů</v>
          </cell>
          <cell r="D384" t="str">
            <v>Sharing of Capex saving factor</v>
          </cell>
        </row>
        <row r="385">
          <cell r="C385" t="str">
            <v>Délka smlouvy</v>
          </cell>
          <cell r="D385" t="str">
            <v>Contract life</v>
          </cell>
        </row>
        <row r="386">
          <cell r="C386" t="str">
            <v>Změna PNHMM</v>
          </cell>
          <cell r="D386" t="str">
            <v>Change in ANGMW</v>
          </cell>
        </row>
        <row r="387">
          <cell r="C387" t="str">
            <v>* Průměrné nominální hrubé měsíční mzdy</v>
          </cell>
          <cell r="D387" t="str">
            <v>* Average Nominal Gross Monthly Wage</v>
          </cell>
        </row>
        <row r="388">
          <cell r="C388" t="str">
            <v>Mzdový index</v>
          </cell>
          <cell r="D388" t="str">
            <v>Wage Index</v>
          </cell>
        </row>
        <row r="389">
          <cell r="C389" t="str">
            <v>výchozího roku</v>
          </cell>
          <cell r="D389" t="str">
            <v>from base year</v>
          </cell>
        </row>
        <row r="390">
          <cell r="C390" t="str">
            <v>Aktualizace ISC</v>
          </cell>
          <cell r="D390" t="str">
            <v>Actualization of CPI</v>
          </cell>
        </row>
        <row r="391">
          <cell r="C391" t="str">
            <v>Investice v oblasti Pitné Vody</v>
          </cell>
          <cell r="D391" t="str">
            <v>Investments to Drinking water</v>
          </cell>
        </row>
        <row r="392">
          <cell r="C392" t="str">
            <v>Investice v oblasti Odpadní Vody</v>
          </cell>
          <cell r="D392" t="str">
            <v>Investments to Wastewater</v>
          </cell>
        </row>
        <row r="393">
          <cell r="C393" t="str">
            <v>Zadat skutečnost</v>
          </cell>
          <cell r="D393" t="str">
            <v>To fill in Audited values of</v>
          </cell>
        </row>
        <row r="394">
          <cell r="C394" t="str">
            <v>Zadat odhad za 3/4 roku</v>
          </cell>
          <cell r="D394" t="str">
            <v>To fill in Reforecast for 3/4 of year</v>
          </cell>
        </row>
        <row r="395">
          <cell r="C395" t="str">
            <v>Odhad za</v>
          </cell>
          <cell r="D395" t="str">
            <v>Reforecast for the year</v>
          </cell>
        </row>
        <row r="396">
          <cell r="C396" t="str">
            <v>již vyplněn</v>
          </cell>
          <cell r="D396" t="str">
            <v>already done</v>
          </cell>
        </row>
        <row r="397">
          <cell r="C397" t="str">
            <v>Aktualizace ISC</v>
          </cell>
          <cell r="D397" t="str">
            <v>Actualization of CPI</v>
          </cell>
        </row>
        <row r="398">
          <cell r="C398" t="str">
            <v>Původní nájemné</v>
          </cell>
          <cell r="D398" t="str">
            <v>Original rent</v>
          </cell>
        </row>
        <row r="399">
          <cell r="C399" t="str">
            <v>Celková pevná platba (vč. Vyrovnávací - stálé ceny)</v>
          </cell>
          <cell r="D399" t="str">
            <v>Total fixed payment (incl. copmpensation - constant prices)</v>
          </cell>
        </row>
        <row r="400">
          <cell r="C400" t="str">
            <v>vstupující do vyrovnání</v>
          </cell>
          <cell r="D400" t="str">
            <v>entering the reconciliation</v>
          </cell>
        </row>
        <row r="401">
          <cell r="C401" t="str">
            <v>Požadovaný příjem</v>
          </cell>
          <cell r="D401" t="str">
            <v>Required Revenue</v>
          </cell>
        </row>
        <row r="402">
          <cell r="C402" t="str">
            <v>Standardní měřítko pro pohledávky (dny)</v>
          </cell>
          <cell r="D402" t="str">
            <v>Benchmark figure for accounts receivable (days)</v>
          </cell>
        </row>
        <row r="403">
          <cell r="C403" t="str">
            <v>Standardní měřítko pro závazky (dny)</v>
          </cell>
          <cell r="D403" t="str">
            <v>Benchmark figure for accounts payable (days)</v>
          </cell>
        </row>
        <row r="404">
          <cell r="C404" t="str">
            <v>Společné vstupy</v>
          </cell>
          <cell r="D404" t="str">
            <v>Shared inputs</v>
          </cell>
        </row>
        <row r="405">
          <cell r="C405" t="str">
            <v>Obecné</v>
          </cell>
          <cell r="D405" t="str">
            <v>General</v>
          </cell>
        </row>
        <row r="406">
          <cell r="C406" t="str">
            <v>Změny</v>
          </cell>
          <cell r="D406" t="str">
            <v>Changes</v>
          </cell>
        </row>
        <row r="407">
          <cell r="C407" t="str">
            <v>Index chemikálií</v>
          </cell>
          <cell r="D407" t="str">
            <v>Chemical index</v>
          </cell>
        </row>
        <row r="408">
          <cell r="C408" t="str">
            <v>Nastavení přístupu k Provozním nákladům</v>
          </cell>
          <cell r="D408" t="str">
            <v>Definition of approaches to OPEX</v>
          </cell>
        </row>
        <row r="409">
          <cell r="C409" t="str">
            <v>Ukazatele Povoleného zisku</v>
          </cell>
          <cell r="D409" t="str">
            <v>Allowed profit drivers</v>
          </cell>
        </row>
        <row r="410">
          <cell r="C410" t="str">
            <v>Povolený zisk</v>
          </cell>
          <cell r="D410" t="str">
            <v>Allowed profit</v>
          </cell>
        </row>
        <row r="411">
          <cell r="C411" t="str">
            <v>Historická hodnota potřebného Provozního majetku</v>
          </cell>
          <cell r="D411" t="str">
            <v>Historical value of Operating assets needed</v>
          </cell>
        </row>
        <row r="412">
          <cell r="C412" t="str">
            <v>Hodnota potřebného Provozního majetku</v>
          </cell>
          <cell r="D412" t="str">
            <v>Value of Operating assets needed</v>
          </cell>
        </row>
        <row r="413">
          <cell r="C413" t="str">
            <v>na 1000 m3 objemu kapacity</v>
          </cell>
          <cell r="D413" t="str">
            <v xml:space="preserve">per 1000 m3 volume capacity of </v>
          </cell>
        </row>
        <row r="414">
          <cell r="C414" t="str">
            <v xml:space="preserve"> na 1000 m3</v>
          </cell>
          <cell r="D414" t="str">
            <v xml:space="preserve"> per 1000 m3</v>
          </cell>
        </row>
        <row r="415">
          <cell r="C415" t="str">
            <v xml:space="preserve">Objem kapacity </v>
          </cell>
          <cell r="D415" t="str">
            <v>Volume capacity of</v>
          </cell>
        </row>
        <row r="416">
          <cell r="C416" t="str">
            <v>ÚV</v>
          </cell>
          <cell r="D416" t="str">
            <v>WTP</v>
          </cell>
        </row>
        <row r="417">
          <cell r="C417" t="str">
            <v>ČOV</v>
          </cell>
          <cell r="D417" t="str">
            <v>WWTP</v>
          </cell>
        </row>
        <row r="418">
          <cell r="C418" t="str">
            <v>Současné</v>
          </cell>
          <cell r="D418" t="str">
            <v>Existing</v>
          </cell>
        </row>
        <row r="419">
          <cell r="C419" t="str">
            <v>Nově připojené</v>
          </cell>
          <cell r="D419" t="str">
            <v>New added</v>
          </cell>
        </row>
        <row r="420">
          <cell r="C420" t="str">
            <v>Zrušené</v>
          </cell>
          <cell r="D420" t="str">
            <v>Cancelled</v>
          </cell>
        </row>
        <row r="421">
          <cell r="C421" t="str">
            <v>Stávající infrastruktura</v>
          </cell>
          <cell r="D421" t="str">
            <v>Existing infrastructure</v>
          </cell>
        </row>
        <row r="422">
          <cell r="C422" t="str">
            <v>Objem vody k realizaci</v>
          </cell>
          <cell r="D422" t="str">
            <v>Total input water</v>
          </cell>
        </row>
        <row r="423">
          <cell r="C423" t="str">
            <v>Látkové zatížení</v>
          </cell>
          <cell r="D423" t="str">
            <v>Pollution load</v>
          </cell>
        </row>
        <row r="424">
          <cell r="C424" t="str">
            <v>Fixní pevně dané</v>
          </cell>
          <cell r="D424" t="str">
            <v>Fixed cost ex ante</v>
          </cell>
        </row>
        <row r="425">
          <cell r="C425" t="str">
            <v>Dle objemu promítané</v>
          </cell>
          <cell r="D425" t="str">
            <v>Volume related true pass through</v>
          </cell>
        </row>
        <row r="426">
          <cell r="C426" t="str">
            <v xml:space="preserve"> - na m3 vody vyčištěné</v>
          </cell>
          <cell r="D426" t="str">
            <v xml:space="preserve"> - per m3 treated</v>
          </cell>
        </row>
        <row r="427">
          <cell r="C427" t="str">
            <v xml:space="preserve"> - na m3 vyrobené/čerpané vody</v>
          </cell>
          <cell r="D427" t="str">
            <v xml:space="preserve"> - per m3 produced/pumped</v>
          </cell>
        </row>
        <row r="428">
          <cell r="C428" t="str">
            <v xml:space="preserve"> - na m3 vody k realizaci</v>
          </cell>
          <cell r="D428" t="str">
            <v xml:space="preserve"> - per m3 total input water</v>
          </cell>
        </row>
        <row r="429">
          <cell r="C429" t="str">
            <v xml:space="preserve"> - celkem</v>
          </cell>
          <cell r="D429" t="str">
            <v xml:space="preserve"> - total</v>
          </cell>
        </row>
        <row r="430">
          <cell r="C430" t="str">
            <v>Dle objemu indexované</v>
          </cell>
          <cell r="D430" t="str">
            <v>Volume related indexed</v>
          </cell>
        </row>
        <row r="431">
          <cell r="C431" t="str">
            <v>Dle zatížení indexované</v>
          </cell>
          <cell r="D431" t="str">
            <v>Pollution related indexed</v>
          </cell>
        </row>
        <row r="432">
          <cell r="C432" t="str">
            <v xml:space="preserve"> - na tunu látkového zatížení</v>
          </cell>
          <cell r="D432" t="str">
            <v xml:space="preserve"> - per ton of pollution load</v>
          </cell>
        </row>
        <row r="433">
          <cell r="C433" t="str">
            <v xml:space="preserve"> - na m3 surové vody se zhoršenou jakostí</v>
          </cell>
          <cell r="D433" t="str">
            <v xml:space="preserve"> - per m3 water with decreased quality</v>
          </cell>
        </row>
        <row r="434">
          <cell r="C434" t="str">
            <v>tis. t/rok</v>
          </cell>
          <cell r="D434" t="str">
            <v>thou. t/yr</v>
          </cell>
        </row>
        <row r="435">
          <cell r="C435" t="str">
            <v>Kč/t</v>
          </cell>
          <cell r="D435" t="str">
            <v>CZK/t</v>
          </cell>
        </row>
        <row r="436">
          <cell r="C436" t="str">
            <v>Nově zřízené přípojky</v>
          </cell>
          <cell r="D436" t="str">
            <v>New added connections</v>
          </cell>
        </row>
        <row r="437">
          <cell r="C437" t="str">
            <v>Nájemné placené vlastníkovi</v>
          </cell>
          <cell r="D437" t="str">
            <v>Rent paid to owner</v>
          </cell>
        </row>
        <row r="438">
          <cell r="C438" t="str">
            <v>Platba za službu</v>
          </cell>
          <cell r="D438" t="str">
            <v>Service Payment</v>
          </cell>
        </row>
        <row r="439">
          <cell r="C439" t="str">
            <v>Výnos z vloženého hmotného kapitálu</v>
          </cell>
          <cell r="D439" t="str">
            <v>Return on tangible capital</v>
          </cell>
        </row>
        <row r="440">
          <cell r="C440" t="str">
            <v>Výnos z vloženého pracovního kapitálu</v>
          </cell>
          <cell r="D440" t="str">
            <v>Return on working capital</v>
          </cell>
        </row>
        <row r="441">
          <cell r="C441" t="str">
            <v>Vyrovnání</v>
          </cell>
          <cell r="D441" t="str">
            <v>Reconciliation</v>
          </cell>
        </row>
        <row r="442">
          <cell r="C442" t="str">
            <v xml:space="preserve"> dle skutečnosti</v>
          </cell>
          <cell r="D442" t="str">
            <v xml:space="preserve"> Actual</v>
          </cell>
        </row>
        <row r="443">
          <cell r="C443" t="str">
            <v xml:space="preserve"> dle odhadu</v>
          </cell>
          <cell r="D443" t="str">
            <v xml:space="preserve"> Forecast</v>
          </cell>
        </row>
        <row r="444">
          <cell r="C444" t="str">
            <v>Výnos z vloženého kapitálu</v>
          </cell>
          <cell r="D444" t="str">
            <v>Return on capital</v>
          </cell>
        </row>
        <row r="445">
          <cell r="C445" t="str">
            <v>Hodnoty celkem (nová i původní infrastruktura)</v>
          </cell>
          <cell r="D445" t="str">
            <v>Aggregate of values (both new and original infrastructure)</v>
          </cell>
        </row>
        <row r="446">
          <cell r="C446" t="str">
            <v>Stanovení faktoru 'z'</v>
          </cell>
          <cell r="D446" t="str">
            <v>Determination of factor 'z'</v>
          </cell>
        </row>
        <row r="447">
          <cell r="C447" t="str">
            <v>Indexované</v>
          </cell>
          <cell r="D447" t="str">
            <v>Indexed</v>
          </cell>
        </row>
        <row r="448">
          <cell r="C448" t="str">
            <v>Výnos z vloženého PK</v>
          </cell>
          <cell r="D448" t="str">
            <v>Return on WC</v>
          </cell>
        </row>
        <row r="449">
          <cell r="C449" t="str">
            <v>Přípojky</v>
          </cell>
          <cell r="D449" t="str">
            <v>Connections</v>
          </cell>
        </row>
        <row r="450">
          <cell r="C450" t="str">
            <v>příjmová část</v>
          </cell>
          <cell r="D450" t="str">
            <v>active part</v>
          </cell>
        </row>
        <row r="451">
          <cell r="C451" t="str">
            <v>Daň</v>
          </cell>
          <cell r="D451" t="str">
            <v>Tax</v>
          </cell>
        </row>
        <row r="452">
          <cell r="C452" t="str">
            <v>Část pasiv</v>
          </cell>
          <cell r="D452" t="str">
            <v>Passive part</v>
          </cell>
        </row>
        <row r="453">
          <cell r="C453" t="str">
            <v>Smlouva je na službu:</v>
          </cell>
          <cell r="D453" t="str">
            <v>Service under contract:</v>
          </cell>
        </row>
        <row r="454">
          <cell r="C454" t="str">
            <v>Dodávka a úprava pitné vody</v>
          </cell>
          <cell r="D454" t="str">
            <v>Drinking water supply and treatment</v>
          </cell>
        </row>
        <row r="455">
          <cell r="C455" t="str">
            <v>Pouze dodávka pitné vody</v>
          </cell>
          <cell r="D455" t="str">
            <v>Only drinking water supply</v>
          </cell>
        </row>
        <row r="456">
          <cell r="C456" t="str">
            <v>Pouze úprava pitné vody</v>
          </cell>
          <cell r="D456" t="str">
            <v>Only drinking water treatment</v>
          </cell>
        </row>
        <row r="457">
          <cell r="C457" t="str">
            <v>Odvádění a čištění odpadních vod</v>
          </cell>
          <cell r="D457" t="str">
            <v>Wastewater collection and treatment</v>
          </cell>
        </row>
        <row r="458">
          <cell r="C458" t="str">
            <v>Pouze odvádění odpadních vod</v>
          </cell>
          <cell r="D458" t="str">
            <v>Only wastewater collection</v>
          </cell>
        </row>
        <row r="459">
          <cell r="C459" t="str">
            <v>Pouze čištění odpadních vod</v>
          </cell>
          <cell r="D459" t="str">
            <v>Only wastewater treatment</v>
          </cell>
        </row>
        <row r="460">
          <cell r="C460" t="str">
            <v>Směrodatný objem vody fakturované</v>
          </cell>
          <cell r="D460" t="str">
            <v>Indicative water volume</v>
          </cell>
        </row>
        <row r="461">
          <cell r="C461" t="str">
            <v>Rozložení rizik</v>
          </cell>
          <cell r="D461" t="str">
            <v>Risk allocation</v>
          </cell>
        </row>
        <row r="462">
          <cell r="C462" t="str">
            <v>Dodávka pitné vody</v>
          </cell>
          <cell r="D462" t="str">
            <v>Drinking water supply</v>
          </cell>
        </row>
        <row r="463">
          <cell r="C463" t="str">
            <v>Úprava pitné vody</v>
          </cell>
          <cell r="D463" t="str">
            <v>Drinking water treatment</v>
          </cell>
        </row>
        <row r="464">
          <cell r="C464" t="str">
            <v>Odvádění odpadních vod</v>
          </cell>
          <cell r="D464" t="str">
            <v>Wastewater collection</v>
          </cell>
        </row>
        <row r="465">
          <cell r="C465" t="str">
            <v>Čištění odpadních vod</v>
          </cell>
          <cell r="D465" t="str">
            <v>Wastewater treatment</v>
          </cell>
        </row>
        <row r="466">
          <cell r="C466" t="str">
            <v>Hodnoty provozování</v>
          </cell>
          <cell r="D466" t="str">
            <v>Operational values</v>
          </cell>
        </row>
        <row r="467">
          <cell r="C467" t="str">
            <v>Regulatorní hodnota majetku (ReHoM)</v>
          </cell>
          <cell r="D467" t="str">
            <v>Regulated asset base (RAB)</v>
          </cell>
        </row>
        <row r="468">
          <cell r="C468" t="str">
            <v>Průměrná životnost Provozního majetku</v>
          </cell>
          <cell r="D468" t="str">
            <v>Average lifetime of Operational assets</v>
          </cell>
        </row>
        <row r="469">
          <cell r="C469" t="str">
            <v>Průměrné stáří Provozního majetku</v>
          </cell>
          <cell r="D469" t="str">
            <v>Average age of Operational assets</v>
          </cell>
        </row>
        <row r="470">
          <cell r="C470" t="str">
            <v>ReHoM - provozní</v>
          </cell>
          <cell r="D470" t="str">
            <v>RAB - operational assets</v>
          </cell>
        </row>
        <row r="471">
          <cell r="C471" t="str">
            <v>Regulatorní hodnota kapitálu (ReHoK)</v>
          </cell>
          <cell r="D471" t="str">
            <v>Regulatory capital value (RCV)</v>
          </cell>
        </row>
        <row r="472">
          <cell r="C472" t="str">
            <v>Variabilní náklady</v>
          </cell>
          <cell r="D472" t="str">
            <v>Variable opex</v>
          </cell>
        </row>
        <row r="473">
          <cell r="C473" t="str">
            <v>Úprava odpisů o inflaci</v>
          </cell>
          <cell r="D473" t="str">
            <v>Depreciation adjustment for real</v>
          </cell>
        </row>
        <row r="474">
          <cell r="C474" t="str">
            <v xml:space="preserve">Odhad </v>
          </cell>
          <cell r="D474" t="str">
            <v xml:space="preserve">Forecast </v>
          </cell>
        </row>
        <row r="475">
          <cell r="C475" t="str">
            <v xml:space="preserve">Skutečnost </v>
          </cell>
          <cell r="D475" t="str">
            <v xml:space="preserve">Actual </v>
          </cell>
        </row>
        <row r="476">
          <cell r="C476" t="str">
            <v>Pouze pro vyplnění ex post</v>
          </cell>
          <cell r="D476" t="str">
            <v>Only ex post data</v>
          </cell>
        </row>
        <row r="477">
          <cell r="C477" t="str">
            <v>Objem surové vody se zhoršenou jakostí</v>
          </cell>
          <cell r="D477" t="str">
            <v>Input water volume with decreased quality</v>
          </cell>
        </row>
        <row r="478">
          <cell r="C478" t="str">
            <v>Celkové náklady za</v>
          </cell>
          <cell r="D478" t="str">
            <v>Total opex of</v>
          </cell>
        </row>
        <row r="479">
          <cell r="C479" t="str">
            <v>pro danou službu</v>
          </cell>
          <cell r="D479" t="str">
            <v>for given service</v>
          </cell>
        </row>
        <row r="480">
          <cell r="C480" t="str">
            <v>Objem vody ze zvláštního zdroje</v>
          </cell>
          <cell r="D480" t="str">
            <v>Specific water resource volume</v>
          </cell>
        </row>
        <row r="481">
          <cell r="C481" t="str">
            <v>Vícenáklady za vodu ze zvlášťního zdroje</v>
          </cell>
          <cell r="D481" t="str">
            <v>Specific water resource overcosts</v>
          </cell>
        </row>
        <row r="486">
          <cell r="C486" t="str">
            <v>English</v>
          </cell>
          <cell r="D486" t="str">
            <v>Czech</v>
          </cell>
        </row>
        <row r="487">
          <cell r="C487" t="str">
            <v>Name of Owner</v>
          </cell>
          <cell r="D487" t="str">
            <v>Název vlastníka</v>
          </cell>
        </row>
        <row r="488">
          <cell r="C488" t="str">
            <v>Person in charge</v>
          </cell>
          <cell r="D488" t="str">
            <v>Zodpovědná osoba</v>
          </cell>
        </row>
        <row r="489">
          <cell r="C489" t="str">
            <v>Name of Operator</v>
          </cell>
          <cell r="D489" t="str">
            <v>Název provozovatele</v>
          </cell>
        </row>
        <row r="490">
          <cell r="C490" t="str">
            <v>Person in charge</v>
          </cell>
          <cell r="D490" t="str">
            <v>Zodpovědná osoba</v>
          </cell>
        </row>
        <row r="491">
          <cell r="C491" t="str">
            <v>Contact address</v>
          </cell>
          <cell r="D491" t="str">
            <v>Kontaktní adresa</v>
          </cell>
        </row>
        <row r="492">
          <cell r="C492" t="str">
            <v>Telephone number</v>
          </cell>
          <cell r="D492" t="str">
            <v>Telefonní číslo</v>
          </cell>
        </row>
        <row r="493">
          <cell r="C493" t="str">
            <v>Fax number</v>
          </cell>
          <cell r="D493" t="str">
            <v>Fax</v>
          </cell>
        </row>
        <row r="494">
          <cell r="C494" t="str">
            <v>E-mail</v>
          </cell>
          <cell r="D494" t="str">
            <v>E-mail</v>
          </cell>
        </row>
        <row r="495">
          <cell r="C495" t="str">
            <v>Completed by</v>
          </cell>
          <cell r="D495" t="str">
            <v>Vyplnil</v>
          </cell>
        </row>
        <row r="496">
          <cell r="C496" t="str">
            <v>Financial Model for Service Only Contracts</v>
          </cell>
          <cell r="D496" t="str">
            <v>Finanční model pro Služební provozní smlouvy</v>
          </cell>
        </row>
        <row r="497">
          <cell r="C497" t="str">
            <v>This project is co-financed by the European Union</v>
          </cell>
          <cell r="D497" t="str">
            <v>Tento projekt je spolufinancován Evropskou unií</v>
          </cell>
        </row>
        <row r="498">
          <cell r="C498" t="str">
            <v>Project Reference Data</v>
          </cell>
          <cell r="D498" t="str">
            <v>Identifikační údaje</v>
          </cell>
        </row>
        <row r="499">
          <cell r="C499" t="str">
            <v>Infrastructure Owner</v>
          </cell>
          <cell r="D499" t="str">
            <v>Vlastník infrastruktury</v>
          </cell>
        </row>
        <row r="500">
          <cell r="C500" t="str">
            <v>Infrastructure Operator</v>
          </cell>
          <cell r="D500" t="str">
            <v>Provozovatel infrastruktury</v>
          </cell>
        </row>
        <row r="501">
          <cell r="C501" t="str">
            <v>Version</v>
          </cell>
          <cell r="D501" t="str">
            <v>Verze</v>
          </cell>
        </row>
        <row r="502">
          <cell r="C502" t="str">
            <v>Date</v>
          </cell>
          <cell r="D502" t="str">
            <v>Datum</v>
          </cell>
        </row>
        <row r="503">
          <cell r="C503" t="str">
            <v>developed under contract for the project 'Financial and technical consultancy for SEF CR and MoE in the implementation of Annex 7 OPE'</v>
          </cell>
          <cell r="D503" t="str">
            <v>vypracován v rámci zakázky "Zajišťování finančně-technického poradenství pro SFŽP ČR a MŽP při implementaci přílohy č.7 OP ŽP"</v>
          </cell>
        </row>
        <row r="504">
          <cell r="C504" t="str">
            <v>Reconciliation tool for setting water and wastewater tariffs</v>
          </cell>
          <cell r="D504" t="str">
            <v>Vyrovnávací nástroj pro tvorbu cen pro vodné a stočné</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CC"/>
  </sheetPr>
  <dimension ref="A1:N42"/>
  <sheetViews>
    <sheetView topLeftCell="A10" zoomScaleNormal="100" workbookViewId="0">
      <selection activeCell="C30" sqref="C30:F30"/>
    </sheetView>
  </sheetViews>
  <sheetFormatPr defaultColWidth="0" defaultRowHeight="15" zeroHeight="1" x14ac:dyDescent="0.25"/>
  <cols>
    <col min="1" max="1" width="3.85546875" style="679" customWidth="1"/>
    <col min="2" max="2" width="18.7109375" customWidth="1"/>
    <col min="3" max="3" width="44.7109375" customWidth="1"/>
    <col min="4" max="4" width="8.85546875" customWidth="1"/>
    <col min="5" max="6" width="12.7109375" customWidth="1"/>
    <col min="7" max="7" width="4" style="679" customWidth="1"/>
    <col min="8" max="14" width="0" hidden="1" customWidth="1"/>
    <col min="15" max="16384" width="8.85546875" hidden="1"/>
  </cols>
  <sheetData>
    <row r="1" spans="2:14" s="679" customFormat="1" x14ac:dyDescent="0.25"/>
    <row r="2" spans="2:14" ht="20.25" x14ac:dyDescent="0.3">
      <c r="B2" s="780" t="s">
        <v>193</v>
      </c>
      <c r="C2" s="781"/>
      <c r="D2" s="781"/>
      <c r="E2" s="781"/>
      <c r="F2" s="782"/>
      <c r="H2" s="29"/>
      <c r="I2" s="29"/>
      <c r="J2" s="29"/>
      <c r="K2" s="29"/>
      <c r="L2" s="29"/>
      <c r="M2" s="29"/>
      <c r="N2" s="29"/>
    </row>
    <row r="3" spans="2:14" ht="35.25" customHeight="1" x14ac:dyDescent="0.25">
      <c r="B3" s="793" t="s">
        <v>449</v>
      </c>
      <c r="C3" s="794"/>
      <c r="D3" s="794"/>
      <c r="E3" s="794"/>
      <c r="F3" s="795"/>
      <c r="H3" s="29"/>
      <c r="I3" s="29"/>
      <c r="J3" s="29"/>
      <c r="K3" s="29"/>
      <c r="L3" s="29"/>
      <c r="M3" s="29"/>
      <c r="N3" s="29"/>
    </row>
    <row r="4" spans="2:14" x14ac:dyDescent="0.25">
      <c r="B4" s="783"/>
      <c r="C4" s="784"/>
      <c r="D4" s="784"/>
      <c r="E4" s="784"/>
      <c r="F4" s="785"/>
    </row>
    <row r="5" spans="2:14" x14ac:dyDescent="0.25">
      <c r="B5" s="783"/>
      <c r="C5" s="786"/>
      <c r="D5" s="786"/>
      <c r="E5" s="786"/>
      <c r="F5" s="787"/>
    </row>
    <row r="6" spans="2:14" x14ac:dyDescent="0.25">
      <c r="B6" s="652"/>
      <c r="C6" s="653"/>
      <c r="D6" s="653"/>
      <c r="E6" s="653"/>
      <c r="F6" s="654"/>
    </row>
    <row r="7" spans="2:14" x14ac:dyDescent="0.25">
      <c r="B7" s="166"/>
      <c r="C7" s="167"/>
      <c r="D7" s="167"/>
      <c r="E7" s="169" t="s">
        <v>183</v>
      </c>
      <c r="F7" s="169" t="s">
        <v>184</v>
      </c>
    </row>
    <row r="8" spans="2:14" x14ac:dyDescent="0.25">
      <c r="B8" s="170"/>
      <c r="C8" s="171"/>
      <c r="D8" s="171"/>
      <c r="E8" s="449" t="s">
        <v>460</v>
      </c>
      <c r="F8" s="172" t="s">
        <v>461</v>
      </c>
    </row>
    <row r="9" spans="2:14" s="679" customFormat="1" x14ac:dyDescent="0.25"/>
    <row r="10" spans="2:14" ht="20.25" x14ac:dyDescent="0.3">
      <c r="B10" s="780" t="s">
        <v>185</v>
      </c>
      <c r="C10" s="788"/>
      <c r="D10" s="788"/>
      <c r="E10" s="788"/>
      <c r="F10" s="789"/>
      <c r="G10" s="671"/>
      <c r="H10" s="174"/>
      <c r="I10" s="174"/>
      <c r="J10" s="174"/>
    </row>
    <row r="11" spans="2:14" x14ac:dyDescent="0.25">
      <c r="B11" s="166"/>
      <c r="C11" s="167"/>
      <c r="D11" s="167"/>
      <c r="E11" s="167"/>
      <c r="F11" s="168"/>
      <c r="G11" s="671"/>
      <c r="H11" s="174"/>
      <c r="I11" s="174"/>
      <c r="J11" s="174"/>
    </row>
    <row r="12" spans="2:14" x14ac:dyDescent="0.25">
      <c r="B12" s="175" t="s">
        <v>190</v>
      </c>
      <c r="C12" s="176"/>
      <c r="D12" s="176"/>
      <c r="E12" s="176"/>
      <c r="F12" s="165"/>
      <c r="G12" s="672"/>
      <c r="H12" s="178"/>
      <c r="I12" s="178"/>
      <c r="J12" s="178"/>
    </row>
    <row r="13" spans="2:14" x14ac:dyDescent="0.25">
      <c r="B13" s="166"/>
      <c r="C13" s="167"/>
      <c r="D13" s="167"/>
      <c r="E13" s="177"/>
      <c r="F13" s="182"/>
      <c r="G13" s="671"/>
      <c r="H13" s="174"/>
      <c r="I13" s="174"/>
      <c r="J13" s="174"/>
    </row>
    <row r="14" spans="2:14" x14ac:dyDescent="0.25">
      <c r="B14" s="173" t="s">
        <v>188</v>
      </c>
      <c r="C14" s="790" t="s">
        <v>462</v>
      </c>
      <c r="D14" s="791"/>
      <c r="E14" s="791"/>
      <c r="F14" s="792"/>
      <c r="G14" s="680"/>
      <c r="H14" s="681"/>
      <c r="I14" s="681"/>
      <c r="J14" s="681"/>
    </row>
    <row r="15" spans="2:14" x14ac:dyDescent="0.25">
      <c r="B15" s="173" t="s">
        <v>214</v>
      </c>
      <c r="C15" s="790" t="s">
        <v>463</v>
      </c>
      <c r="D15" s="791"/>
      <c r="E15" s="791"/>
      <c r="F15" s="792"/>
      <c r="G15" s="680"/>
      <c r="H15" s="681"/>
      <c r="I15" s="681"/>
      <c r="J15" s="681"/>
    </row>
    <row r="16" spans="2:14" x14ac:dyDescent="0.25">
      <c r="B16" s="173" t="s">
        <v>189</v>
      </c>
      <c r="C16" s="790" t="s">
        <v>464</v>
      </c>
      <c r="D16" s="791"/>
      <c r="E16" s="791"/>
      <c r="F16" s="792"/>
      <c r="G16" s="680"/>
      <c r="H16" s="681"/>
      <c r="I16" s="681"/>
      <c r="J16" s="681"/>
    </row>
    <row r="17" spans="2:10" x14ac:dyDescent="0.25">
      <c r="B17" s="173" t="s">
        <v>186</v>
      </c>
      <c r="C17" s="790" t="s">
        <v>465</v>
      </c>
      <c r="D17" s="791"/>
      <c r="E17" s="791"/>
      <c r="F17" s="792"/>
      <c r="G17" s="680"/>
      <c r="H17" s="681"/>
      <c r="I17" s="681"/>
      <c r="J17" s="681"/>
    </row>
    <row r="18" spans="2:10" x14ac:dyDescent="0.25">
      <c r="B18" s="173" t="s">
        <v>187</v>
      </c>
      <c r="C18" s="790" t="s">
        <v>466</v>
      </c>
      <c r="D18" s="791"/>
      <c r="E18" s="791"/>
      <c r="F18" s="792"/>
      <c r="G18" s="680"/>
      <c r="H18" s="681"/>
      <c r="I18" s="681"/>
      <c r="J18" s="681"/>
    </row>
    <row r="19" spans="2:10" x14ac:dyDescent="0.25">
      <c r="B19" s="173" t="s">
        <v>201</v>
      </c>
      <c r="C19" s="790" t="s">
        <v>467</v>
      </c>
      <c r="D19" s="791"/>
      <c r="E19" s="791"/>
      <c r="F19" s="792"/>
      <c r="G19" s="680"/>
      <c r="H19" s="681"/>
      <c r="I19" s="681"/>
      <c r="J19" s="681"/>
    </row>
    <row r="20" spans="2:10" x14ac:dyDescent="0.25">
      <c r="B20" s="173" t="s">
        <v>184</v>
      </c>
      <c r="C20" s="790" t="s">
        <v>468</v>
      </c>
      <c r="D20" s="791"/>
      <c r="E20" s="791"/>
      <c r="F20" s="792"/>
      <c r="G20" s="671"/>
      <c r="H20" s="174"/>
      <c r="I20" s="174"/>
      <c r="J20" s="174"/>
    </row>
    <row r="21" spans="2:10" s="679" customFormat="1" x14ac:dyDescent="0.25">
      <c r="B21" s="670"/>
      <c r="C21" s="671"/>
      <c r="D21" s="671"/>
      <c r="E21" s="673"/>
      <c r="F21" s="674"/>
      <c r="G21" s="671"/>
      <c r="H21" s="671"/>
      <c r="I21" s="671"/>
      <c r="J21" s="671"/>
    </row>
    <row r="22" spans="2:10" x14ac:dyDescent="0.25">
      <c r="B22" s="175" t="s">
        <v>210</v>
      </c>
      <c r="C22" s="176"/>
      <c r="D22" s="176"/>
      <c r="E22" s="176"/>
      <c r="F22" s="165"/>
      <c r="G22" s="672"/>
      <c r="H22" s="178"/>
      <c r="I22" s="178"/>
      <c r="J22" s="178"/>
    </row>
    <row r="23" spans="2:10" x14ac:dyDescent="0.25">
      <c r="B23" s="166"/>
      <c r="C23" s="167"/>
      <c r="D23" s="167"/>
      <c r="E23" s="177"/>
      <c r="F23" s="182"/>
      <c r="G23" s="671"/>
      <c r="H23" s="174"/>
      <c r="I23" s="174"/>
      <c r="J23" s="174"/>
    </row>
    <row r="24" spans="2:10" x14ac:dyDescent="0.25">
      <c r="B24" s="173" t="s">
        <v>188</v>
      </c>
      <c r="C24" s="796" t="s">
        <v>469</v>
      </c>
      <c r="D24" s="797"/>
      <c r="E24" s="797"/>
      <c r="F24" s="798"/>
      <c r="G24" s="680"/>
      <c r="H24" s="681"/>
      <c r="I24" s="681"/>
      <c r="J24" s="681"/>
    </row>
    <row r="25" spans="2:10" x14ac:dyDescent="0.25">
      <c r="B25" s="173" t="s">
        <v>214</v>
      </c>
      <c r="C25" s="796" t="s">
        <v>470</v>
      </c>
      <c r="D25" s="797"/>
      <c r="E25" s="797"/>
      <c r="F25" s="798"/>
      <c r="G25" s="680"/>
      <c r="H25" s="681"/>
      <c r="I25" s="681"/>
      <c r="J25" s="681"/>
    </row>
    <row r="26" spans="2:10" x14ac:dyDescent="0.25">
      <c r="B26" s="173" t="s">
        <v>189</v>
      </c>
      <c r="C26" s="796" t="s">
        <v>471</v>
      </c>
      <c r="D26" s="797"/>
      <c r="E26" s="797"/>
      <c r="F26" s="798"/>
      <c r="G26" s="680"/>
      <c r="H26" s="681"/>
      <c r="I26" s="681"/>
      <c r="J26" s="681"/>
    </row>
    <row r="27" spans="2:10" x14ac:dyDescent="0.25">
      <c r="B27" s="173" t="s">
        <v>186</v>
      </c>
      <c r="C27" s="796" t="s">
        <v>472</v>
      </c>
      <c r="D27" s="797"/>
      <c r="E27" s="797"/>
      <c r="F27" s="798"/>
      <c r="G27" s="680"/>
      <c r="H27" s="681"/>
      <c r="I27" s="681"/>
      <c r="J27" s="681"/>
    </row>
    <row r="28" spans="2:10" x14ac:dyDescent="0.25">
      <c r="B28" s="173" t="s">
        <v>187</v>
      </c>
      <c r="C28" s="796" t="s">
        <v>473</v>
      </c>
      <c r="D28" s="797"/>
      <c r="E28" s="797"/>
      <c r="F28" s="798"/>
      <c r="G28" s="680"/>
      <c r="H28" s="681"/>
      <c r="I28" s="681"/>
      <c r="J28" s="681"/>
    </row>
    <row r="29" spans="2:10" x14ac:dyDescent="0.25">
      <c r="B29" s="179" t="s">
        <v>201</v>
      </c>
      <c r="C29" s="796" t="s">
        <v>474</v>
      </c>
      <c r="D29" s="797"/>
      <c r="E29" s="797"/>
      <c r="F29" s="798"/>
      <c r="G29" s="680"/>
      <c r="H29" s="681"/>
      <c r="I29" s="681"/>
      <c r="J29" s="681"/>
    </row>
    <row r="30" spans="2:10" x14ac:dyDescent="0.25">
      <c r="B30" s="173" t="s">
        <v>184</v>
      </c>
      <c r="C30" s="796" t="s">
        <v>475</v>
      </c>
      <c r="D30" s="797"/>
      <c r="E30" s="797"/>
      <c r="F30" s="798"/>
      <c r="G30" s="680"/>
      <c r="H30" s="681"/>
      <c r="I30" s="681"/>
      <c r="J30" s="681"/>
    </row>
    <row r="31" spans="2:10" s="679" customFormat="1" x14ac:dyDescent="0.25">
      <c r="B31" s="675"/>
      <c r="C31" s="675"/>
      <c r="D31" s="675"/>
      <c r="E31" s="675"/>
      <c r="F31" s="675"/>
      <c r="G31" s="671"/>
      <c r="H31" s="671"/>
      <c r="I31" s="671"/>
      <c r="J31" s="671"/>
    </row>
    <row r="32" spans="2:10" ht="20.25" x14ac:dyDescent="0.3">
      <c r="B32" s="780" t="s">
        <v>350</v>
      </c>
      <c r="C32" s="788"/>
      <c r="D32" s="788"/>
      <c r="E32" s="788"/>
      <c r="F32" s="788"/>
      <c r="G32" s="676"/>
      <c r="H32" s="180"/>
      <c r="I32" s="180"/>
      <c r="J32" s="180"/>
    </row>
    <row r="33" spans="2:10" ht="15" customHeight="1" x14ac:dyDescent="0.25">
      <c r="B33" s="799" t="s">
        <v>439</v>
      </c>
      <c r="C33" s="800"/>
      <c r="D33" s="800"/>
      <c r="E33" s="800"/>
      <c r="F33" s="801"/>
      <c r="G33" s="677"/>
      <c r="H33" s="181"/>
      <c r="I33" s="181"/>
      <c r="J33" s="181"/>
    </row>
    <row r="34" spans="2:10" x14ac:dyDescent="0.25">
      <c r="B34" s="799"/>
      <c r="C34" s="800"/>
      <c r="D34" s="800"/>
      <c r="E34" s="800"/>
      <c r="F34" s="801"/>
      <c r="G34" s="677"/>
      <c r="H34" s="181"/>
      <c r="I34" s="181"/>
      <c r="J34" s="181"/>
    </row>
    <row r="35" spans="2:10" x14ac:dyDescent="0.25">
      <c r="B35" s="799"/>
      <c r="C35" s="800"/>
      <c r="D35" s="800"/>
      <c r="E35" s="800"/>
      <c r="F35" s="801"/>
      <c r="G35" s="677"/>
      <c r="H35" s="181"/>
      <c r="I35" s="181"/>
      <c r="J35" s="181"/>
    </row>
    <row r="36" spans="2:10" x14ac:dyDescent="0.25">
      <c r="B36" s="802"/>
      <c r="C36" s="803"/>
      <c r="D36" s="803"/>
      <c r="E36" s="803"/>
      <c r="F36" s="804"/>
      <c r="G36" s="677"/>
      <c r="H36" s="181"/>
      <c r="I36" s="181"/>
      <c r="J36" s="181"/>
    </row>
    <row r="37" spans="2:10" s="679" customFormat="1" x14ac:dyDescent="0.25">
      <c r="H37" s="678"/>
      <c r="I37" s="678"/>
      <c r="J37" s="678"/>
    </row>
    <row r="38" spans="2:10" hidden="1" x14ac:dyDescent="0.25">
      <c r="H38" s="181"/>
      <c r="I38" s="181"/>
      <c r="J38" s="181"/>
    </row>
    <row r="39" spans="2:10" hidden="1" x14ac:dyDescent="0.25">
      <c r="H39" s="181"/>
      <c r="I39" s="181"/>
      <c r="J39" s="181"/>
    </row>
    <row r="40" spans="2:10" hidden="1" x14ac:dyDescent="0.25">
      <c r="H40" s="181"/>
      <c r="I40" s="181"/>
      <c r="J40" s="181"/>
    </row>
    <row r="41" spans="2:10" hidden="1" x14ac:dyDescent="0.25">
      <c r="H41" s="181"/>
      <c r="I41" s="181"/>
      <c r="J41" s="181"/>
    </row>
    <row r="42" spans="2:10" hidden="1" x14ac:dyDescent="0.25">
      <c r="H42" s="181"/>
      <c r="I42" s="181"/>
      <c r="J42" s="181"/>
    </row>
  </sheetData>
  <sheetProtection password="B65E" sheet="1" objects="1" scenarios="1"/>
  <mergeCells count="21">
    <mergeCell ref="B33:F36"/>
    <mergeCell ref="B32:F32"/>
    <mergeCell ref="C24:F24"/>
    <mergeCell ref="C26:F26"/>
    <mergeCell ref="C27:F27"/>
    <mergeCell ref="C25:F25"/>
    <mergeCell ref="C30:F30"/>
    <mergeCell ref="C17:F17"/>
    <mergeCell ref="C14:F14"/>
    <mergeCell ref="C15:F15"/>
    <mergeCell ref="C28:F28"/>
    <mergeCell ref="C29:F29"/>
    <mergeCell ref="C20:F20"/>
    <mergeCell ref="C18:F18"/>
    <mergeCell ref="C19:F19"/>
    <mergeCell ref="B2:F2"/>
    <mergeCell ref="B4:F4"/>
    <mergeCell ref="B5:F5"/>
    <mergeCell ref="B10:F10"/>
    <mergeCell ref="C16:F16"/>
    <mergeCell ref="B3:F3"/>
  </mergeCells>
  <pageMargins left="0.7" right="0.7" top="0.78740157499999996" bottom="0.78740157499999996"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99"/>
  </sheetPr>
  <dimension ref="A1:Y82"/>
  <sheetViews>
    <sheetView showGridLines="0" topLeftCell="A4" zoomScale="70" zoomScaleNormal="70" workbookViewId="0">
      <selection activeCell="F45" sqref="F45"/>
    </sheetView>
  </sheetViews>
  <sheetFormatPr defaultColWidth="0" defaultRowHeight="15" x14ac:dyDescent="0.25"/>
  <cols>
    <col min="1" max="1" width="3.85546875" customWidth="1"/>
    <col min="2" max="2" width="3.140625" customWidth="1"/>
    <col min="3" max="3" width="29" customWidth="1"/>
    <col min="4" max="4" width="8.85546875" customWidth="1"/>
    <col min="5" max="15" width="9.7109375" customWidth="1"/>
    <col min="16" max="16" width="3.140625" customWidth="1"/>
    <col min="17" max="17" width="3.85546875" customWidth="1"/>
    <col min="18" max="25" width="0" hidden="1" customWidth="1"/>
    <col min="26" max="16384" width="8.85546875" hidden="1"/>
  </cols>
  <sheetData>
    <row r="1" spans="1:25" x14ac:dyDescent="0.25">
      <c r="A1" s="81"/>
      <c r="B1" s="82" t="s">
        <v>106</v>
      </c>
      <c r="C1" s="81"/>
      <c r="D1" s="81"/>
      <c r="E1" s="81"/>
      <c r="F1" s="81"/>
      <c r="G1" s="81"/>
      <c r="H1" s="81"/>
      <c r="I1" s="81"/>
      <c r="J1" s="81"/>
      <c r="K1" s="81"/>
      <c r="L1" s="81"/>
      <c r="M1" s="81"/>
      <c r="N1" s="81"/>
      <c r="O1" s="81"/>
      <c r="P1" s="81"/>
      <c r="Q1" s="81"/>
      <c r="R1" s="195"/>
      <c r="S1" s="195"/>
      <c r="T1" s="195"/>
      <c r="U1" s="195"/>
      <c r="V1" s="195"/>
      <c r="W1" s="195"/>
      <c r="X1" s="195"/>
    </row>
    <row r="2" spans="1:25" x14ac:dyDescent="0.25">
      <c r="A2" s="81"/>
      <c r="B2" s="57"/>
      <c r="C2" s="820" t="s">
        <v>279</v>
      </c>
      <c r="D2" s="821"/>
      <c r="E2" s="821"/>
      <c r="F2" s="821"/>
      <c r="G2" s="821"/>
      <c r="H2" s="821"/>
      <c r="I2" s="821"/>
      <c r="J2" s="821"/>
      <c r="K2" s="821"/>
      <c r="L2" s="821"/>
      <c r="M2" s="821"/>
      <c r="N2" s="821"/>
      <c r="O2" s="821"/>
      <c r="P2" s="822"/>
      <c r="Q2" s="81"/>
      <c r="R2" s="195"/>
      <c r="S2" s="195"/>
      <c r="T2" s="195"/>
      <c r="U2" s="195"/>
      <c r="V2" s="195"/>
      <c r="W2" s="195"/>
      <c r="X2" s="195"/>
    </row>
    <row r="3" spans="1:25" x14ac:dyDescent="0.25">
      <c r="A3" s="81"/>
      <c r="B3" s="57"/>
      <c r="C3" s="823"/>
      <c r="D3" s="824"/>
      <c r="E3" s="824"/>
      <c r="F3" s="824"/>
      <c r="G3" s="824"/>
      <c r="H3" s="824"/>
      <c r="I3" s="824"/>
      <c r="J3" s="824"/>
      <c r="K3" s="824"/>
      <c r="L3" s="824"/>
      <c r="M3" s="824"/>
      <c r="N3" s="824"/>
      <c r="O3" s="824"/>
      <c r="P3" s="825"/>
      <c r="Q3" s="81"/>
      <c r="R3" s="195"/>
      <c r="S3" s="195"/>
      <c r="T3" s="195"/>
      <c r="U3" s="195"/>
      <c r="V3" s="195"/>
      <c r="W3" s="195"/>
      <c r="X3" s="195"/>
    </row>
    <row r="4" spans="1:25" x14ac:dyDescent="0.25">
      <c r="A4" s="81"/>
      <c r="B4" s="57"/>
      <c r="C4" s="57"/>
      <c r="D4" s="57"/>
      <c r="E4" s="57"/>
      <c r="F4" s="57"/>
      <c r="G4" s="57"/>
      <c r="H4" s="57"/>
      <c r="I4" s="57"/>
      <c r="J4" s="57"/>
      <c r="K4" s="57"/>
      <c r="L4" s="73"/>
      <c r="M4" s="73"/>
      <c r="N4" s="73"/>
      <c r="O4" s="73"/>
      <c r="P4" s="70"/>
      <c r="Q4" s="81"/>
      <c r="R4" s="278"/>
      <c r="S4" s="278"/>
      <c r="T4" s="279"/>
      <c r="U4" s="279"/>
      <c r="V4" s="279"/>
      <c r="W4" s="252"/>
      <c r="X4" s="252"/>
    </row>
    <row r="5" spans="1:25" x14ac:dyDescent="0.25">
      <c r="A5" s="81"/>
      <c r="B5" s="57"/>
      <c r="C5" s="241" t="s">
        <v>249</v>
      </c>
      <c r="D5" s="62"/>
      <c r="E5" s="62"/>
      <c r="F5" s="62"/>
      <c r="G5" s="62"/>
      <c r="H5" s="62"/>
      <c r="I5" s="62"/>
      <c r="J5" s="62"/>
      <c r="K5" s="62"/>
      <c r="L5" s="62"/>
      <c r="M5" s="62"/>
      <c r="N5" s="62"/>
      <c r="O5" s="62"/>
      <c r="P5" s="57"/>
      <c r="Q5" s="81"/>
      <c r="R5" s="278"/>
      <c r="S5" s="278"/>
      <c r="T5" s="278"/>
      <c r="U5" s="278"/>
      <c r="V5" s="278"/>
      <c r="W5" s="278"/>
      <c r="X5" s="278"/>
    </row>
    <row r="6" spans="1:25" x14ac:dyDescent="0.25">
      <c r="A6" s="81"/>
      <c r="B6" s="64"/>
      <c r="C6" s="398" t="s">
        <v>351</v>
      </c>
      <c r="D6" s="399"/>
      <c r="E6" s="399"/>
      <c r="F6" s="399"/>
      <c r="G6" s="399"/>
      <c r="H6" s="399"/>
      <c r="I6" s="399"/>
      <c r="J6" s="400"/>
      <c r="K6" s="73"/>
      <c r="L6" s="73"/>
      <c r="M6" s="73"/>
      <c r="N6" s="73"/>
      <c r="O6" s="73"/>
      <c r="P6" s="65"/>
      <c r="Q6" s="81"/>
      <c r="R6" s="278"/>
      <c r="S6" s="278"/>
      <c r="T6" s="278"/>
      <c r="U6" s="278"/>
      <c r="V6" s="278"/>
      <c r="W6" s="278"/>
      <c r="X6" s="278"/>
    </row>
    <row r="7" spans="1:25" x14ac:dyDescent="0.25">
      <c r="A7" s="81"/>
      <c r="B7" s="64"/>
      <c r="C7" s="401" t="s">
        <v>208</v>
      </c>
      <c r="D7" s="402"/>
      <c r="E7" s="402"/>
      <c r="F7" s="402"/>
      <c r="G7" s="402"/>
      <c r="H7" s="402"/>
      <c r="I7" s="402"/>
      <c r="J7" s="403"/>
      <c r="K7" s="73"/>
      <c r="L7" s="73"/>
      <c r="M7" s="73"/>
      <c r="N7" s="73"/>
      <c r="O7" s="73"/>
      <c r="P7" s="65"/>
      <c r="Q7" s="81"/>
      <c r="R7" s="278"/>
      <c r="S7" s="278"/>
      <c r="T7" s="279"/>
      <c r="U7" s="279"/>
      <c r="V7" s="279"/>
      <c r="W7" s="252"/>
      <c r="X7" s="252"/>
    </row>
    <row r="8" spans="1:25" x14ac:dyDescent="0.25">
      <c r="A8" s="81"/>
      <c r="B8" s="64"/>
      <c r="C8" s="220" t="s">
        <v>176</v>
      </c>
      <c r="D8" s="221"/>
      <c r="E8" s="221"/>
      <c r="F8" s="221"/>
      <c r="G8" s="221"/>
      <c r="H8" s="221"/>
      <c r="I8" s="221"/>
      <c r="J8" s="222"/>
      <c r="K8" s="73"/>
      <c r="L8" s="73"/>
      <c r="M8" s="73"/>
      <c r="N8" s="73"/>
      <c r="O8" s="73"/>
      <c r="Q8" s="81"/>
      <c r="R8" s="278"/>
      <c r="S8" s="278"/>
      <c r="T8" s="279"/>
      <c r="U8" s="279"/>
      <c r="V8" s="279"/>
      <c r="W8" s="252"/>
      <c r="X8" s="252"/>
    </row>
    <row r="9" spans="1:25" x14ac:dyDescent="0.25">
      <c r="A9" s="81"/>
      <c r="B9" s="64"/>
      <c r="C9" s="404" t="s">
        <v>140</v>
      </c>
      <c r="D9" s="405"/>
      <c r="E9" s="405"/>
      <c r="F9" s="405"/>
      <c r="G9" s="405"/>
      <c r="H9" s="405"/>
      <c r="I9" s="405"/>
      <c r="J9" s="406"/>
      <c r="K9" s="73"/>
      <c r="L9" s="73"/>
      <c r="M9" s="73"/>
      <c r="N9" s="73"/>
      <c r="O9" s="73"/>
      <c r="Q9" s="81"/>
      <c r="R9" s="280"/>
      <c r="S9" s="278"/>
      <c r="T9" s="279"/>
      <c r="U9" s="279"/>
      <c r="V9" s="279"/>
      <c r="W9" s="252"/>
      <c r="X9" s="252"/>
    </row>
    <row r="10" spans="1:25" x14ac:dyDescent="0.25">
      <c r="A10" s="81"/>
      <c r="B10" s="64"/>
      <c r="C10" s="223" t="s">
        <v>135</v>
      </c>
      <c r="D10" s="224"/>
      <c r="E10" s="224"/>
      <c r="F10" s="224"/>
      <c r="G10" s="224"/>
      <c r="H10" s="224"/>
      <c r="I10" s="224"/>
      <c r="J10" s="225"/>
      <c r="K10" s="73"/>
      <c r="L10" s="73"/>
      <c r="M10" s="73"/>
      <c r="N10" s="73"/>
      <c r="O10" s="73"/>
      <c r="Q10" s="81"/>
      <c r="R10" s="278"/>
      <c r="S10" s="278"/>
      <c r="T10" s="279"/>
      <c r="U10" s="279"/>
      <c r="V10" s="279"/>
      <c r="W10" s="252"/>
      <c r="X10" s="252"/>
    </row>
    <row r="11" spans="1:25" x14ac:dyDescent="0.25">
      <c r="A11" s="81"/>
      <c r="B11" s="57"/>
      <c r="C11" s="226" t="s">
        <v>163</v>
      </c>
      <c r="D11" s="227"/>
      <c r="E11" s="227"/>
      <c r="F11" s="227"/>
      <c r="G11" s="227"/>
      <c r="H11" s="227"/>
      <c r="I11" s="227"/>
      <c r="J11" s="228"/>
      <c r="K11" s="73"/>
      <c r="L11" s="73"/>
      <c r="M11" s="73"/>
      <c r="N11" s="73"/>
      <c r="O11" s="73"/>
      <c r="Q11" s="81"/>
      <c r="R11" s="278"/>
      <c r="S11" s="278"/>
      <c r="T11" s="279"/>
      <c r="U11" s="279"/>
      <c r="V11" s="279"/>
      <c r="W11" s="252"/>
      <c r="X11" s="252"/>
    </row>
    <row r="12" spans="1:25" ht="15" customHeight="1" x14ac:dyDescent="0.25">
      <c r="A12" s="81"/>
      <c r="B12" s="57"/>
      <c r="C12" s="58"/>
      <c r="D12" s="93"/>
      <c r="E12" s="93"/>
      <c r="F12" s="93"/>
      <c r="G12" s="93"/>
      <c r="H12" s="93"/>
      <c r="I12" s="93"/>
      <c r="J12" s="93"/>
      <c r="K12" s="70"/>
      <c r="L12" s="70"/>
      <c r="M12" s="70"/>
      <c r="N12" s="70"/>
      <c r="O12" s="70"/>
      <c r="P12" s="57"/>
      <c r="Q12" s="81"/>
      <c r="R12" s="278"/>
      <c r="S12" s="278"/>
      <c r="T12" s="279"/>
      <c r="U12" s="279"/>
      <c r="V12" s="279"/>
      <c r="W12" s="252"/>
      <c r="X12" s="252"/>
    </row>
    <row r="13" spans="1:25" ht="15" customHeight="1" x14ac:dyDescent="0.25">
      <c r="A13" s="81"/>
      <c r="B13" s="57"/>
      <c r="C13" s="287" t="s">
        <v>250</v>
      </c>
      <c r="D13" s="288"/>
      <c r="E13" s="288"/>
      <c r="F13" s="288"/>
      <c r="G13" s="288"/>
      <c r="H13" s="288"/>
      <c r="I13" s="288"/>
      <c r="J13" s="288"/>
      <c r="K13" s="235"/>
      <c r="L13" s="214"/>
      <c r="M13" s="214"/>
      <c r="N13" s="214"/>
      <c r="O13" s="214"/>
      <c r="P13" s="57"/>
      <c r="Q13" s="81"/>
      <c r="R13" s="278"/>
      <c r="S13" s="278"/>
      <c r="T13" s="279"/>
      <c r="U13" s="279"/>
      <c r="V13" s="279"/>
      <c r="W13" s="252"/>
      <c r="X13" s="252"/>
    </row>
    <row r="14" spans="1:25" ht="15" customHeight="1" x14ac:dyDescent="0.25">
      <c r="A14" s="81"/>
      <c r="B14" s="57"/>
      <c r="C14" s="289"/>
      <c r="D14" s="290"/>
      <c r="E14" s="290"/>
      <c r="F14" s="290"/>
      <c r="G14" s="290"/>
      <c r="H14" s="290"/>
      <c r="I14" s="290"/>
      <c r="J14" s="290"/>
      <c r="K14" s="236"/>
      <c r="L14" s="215"/>
      <c r="M14" s="215"/>
      <c r="N14" s="215"/>
      <c r="O14" s="215"/>
      <c r="P14" s="57"/>
      <c r="Q14" s="81"/>
      <c r="R14" s="278"/>
      <c r="S14" s="278"/>
      <c r="T14" s="279"/>
      <c r="U14" s="279"/>
      <c r="V14" s="279"/>
      <c r="W14" s="252"/>
      <c r="X14" s="252"/>
    </row>
    <row r="15" spans="1:25" x14ac:dyDescent="0.25">
      <c r="A15" s="372" t="s">
        <v>8</v>
      </c>
      <c r="B15" s="372" t="s">
        <v>275</v>
      </c>
      <c r="C15" s="373"/>
      <c r="D15" s="373"/>
      <c r="E15" s="373"/>
      <c r="F15" s="373"/>
      <c r="G15" s="373"/>
      <c r="H15" s="373"/>
      <c r="I15" s="373"/>
      <c r="J15" s="373"/>
      <c r="K15" s="373"/>
      <c r="L15" s="373"/>
      <c r="M15" s="373"/>
      <c r="N15" s="373"/>
      <c r="O15" s="373"/>
      <c r="P15" s="373"/>
      <c r="Q15" s="373"/>
      <c r="R15" s="278"/>
      <c r="S15" s="278"/>
      <c r="T15" s="279"/>
      <c r="U15" s="279"/>
      <c r="V15" s="279"/>
      <c r="W15" s="252"/>
      <c r="X15" s="252"/>
    </row>
    <row r="16" spans="1:25" x14ac:dyDescent="0.25">
      <c r="A16" s="372"/>
      <c r="B16" s="59"/>
      <c r="C16" s="57"/>
      <c r="D16" s="57"/>
      <c r="E16" s="57"/>
      <c r="F16" s="57"/>
      <c r="G16" s="57"/>
      <c r="H16" s="57"/>
      <c r="I16" s="57"/>
      <c r="J16" s="57"/>
      <c r="K16" s="57"/>
      <c r="L16" s="57"/>
      <c r="M16" s="57"/>
      <c r="N16" s="57"/>
      <c r="O16" s="57"/>
      <c r="P16" s="57"/>
      <c r="Q16" s="373"/>
      <c r="R16" s="278"/>
      <c r="S16" s="278"/>
      <c r="T16" s="279"/>
      <c r="U16" s="279"/>
      <c r="V16" s="279"/>
      <c r="W16" s="252"/>
      <c r="X16" s="252"/>
      <c r="Y16" s="252"/>
    </row>
    <row r="17" spans="1:25" x14ac:dyDescent="0.25">
      <c r="A17" s="372"/>
      <c r="B17" s="59"/>
      <c r="C17" s="241" t="s">
        <v>192</v>
      </c>
      <c r="D17" s="62"/>
      <c r="E17" s="62"/>
      <c r="F17" s="62"/>
      <c r="G17" s="62"/>
      <c r="H17" s="62"/>
      <c r="I17" s="62"/>
      <c r="J17" s="62"/>
      <c r="K17" s="57"/>
      <c r="L17" s="57"/>
      <c r="M17" s="57"/>
      <c r="N17" s="57"/>
      <c r="O17" s="57"/>
      <c r="P17" s="57"/>
      <c r="Q17" s="373"/>
      <c r="R17" s="278"/>
      <c r="S17" s="278"/>
      <c r="T17" s="279"/>
      <c r="U17" s="279"/>
      <c r="V17" s="279"/>
      <c r="W17" s="252"/>
      <c r="X17" s="252"/>
      <c r="Y17" s="252"/>
    </row>
    <row r="18" spans="1:25" x14ac:dyDescent="0.25">
      <c r="A18" s="372"/>
      <c r="B18" s="60"/>
      <c r="C18" s="826" t="s">
        <v>112</v>
      </c>
      <c r="D18" s="827"/>
      <c r="E18" s="827"/>
      <c r="F18" s="827"/>
      <c r="G18" s="827"/>
      <c r="H18" s="827"/>
      <c r="I18" s="827"/>
      <c r="J18" s="828"/>
      <c r="K18" s="103" t="str">
        <f>IF(C18="Služební provozní smlouva (Vlastník vybírá vodné/stočné)","1",IF(C18="Koncesní smlouva (Provozovatel vybírá vodné/stočné)","2","0"))</f>
        <v>2</v>
      </c>
      <c r="L18" s="103"/>
      <c r="M18" s="103"/>
      <c r="N18" s="103"/>
      <c r="O18" s="103"/>
      <c r="P18" s="61"/>
      <c r="Q18" s="373"/>
      <c r="R18" s="278"/>
      <c r="S18" s="278"/>
      <c r="T18" s="279"/>
      <c r="U18" s="279"/>
      <c r="V18" s="279"/>
      <c r="W18" s="252"/>
      <c r="X18" s="252"/>
      <c r="Y18" s="252"/>
    </row>
    <row r="19" spans="1:25" x14ac:dyDescent="0.25">
      <c r="A19" s="372"/>
      <c r="B19" s="59"/>
      <c r="C19" s="63"/>
      <c r="D19" s="63"/>
      <c r="E19" s="63"/>
      <c r="F19" s="63"/>
      <c r="G19" s="63"/>
      <c r="H19" s="63"/>
      <c r="I19" s="63"/>
      <c r="J19" s="63"/>
      <c r="K19" s="104"/>
      <c r="L19" s="104"/>
      <c r="M19" s="104"/>
      <c r="N19" s="104"/>
      <c r="O19" s="104"/>
      <c r="P19" s="57"/>
      <c r="Q19" s="373"/>
      <c r="R19" s="278"/>
      <c r="S19" s="278"/>
      <c r="T19" s="279"/>
      <c r="U19" s="279"/>
      <c r="V19" s="279"/>
      <c r="W19" s="252"/>
      <c r="X19" s="252"/>
      <c r="Y19" s="252"/>
    </row>
    <row r="20" spans="1:25" x14ac:dyDescent="0.25">
      <c r="A20" s="372"/>
      <c r="B20" s="59"/>
      <c r="C20" s="241" t="s">
        <v>271</v>
      </c>
      <c r="D20" s="62"/>
      <c r="E20" s="62"/>
      <c r="F20" s="62"/>
      <c r="G20" s="62"/>
      <c r="H20" s="62"/>
      <c r="I20" s="62"/>
      <c r="J20" s="62"/>
      <c r="K20" s="104"/>
      <c r="L20" s="104"/>
      <c r="M20" s="104"/>
      <c r="N20" s="104"/>
      <c r="O20" s="104"/>
      <c r="P20" s="57"/>
      <c r="Q20" s="373"/>
      <c r="R20" s="278"/>
      <c r="S20" s="278"/>
      <c r="T20" s="279"/>
      <c r="U20" s="279"/>
      <c r="V20" s="279"/>
      <c r="W20" s="252"/>
      <c r="X20" s="252"/>
      <c r="Y20" s="252"/>
    </row>
    <row r="21" spans="1:25" x14ac:dyDescent="0.25">
      <c r="A21" s="372"/>
      <c r="B21" s="60"/>
      <c r="C21" s="826" t="s">
        <v>136</v>
      </c>
      <c r="D21" s="827"/>
      <c r="E21" s="827"/>
      <c r="F21" s="827"/>
      <c r="G21" s="827"/>
      <c r="H21" s="827"/>
      <c r="I21" s="827"/>
      <c r="J21" s="828"/>
      <c r="K21" s="103" t="str">
        <f>IF(C21="Voda pitná","1",IF(C21="Voda odpadní","2",IF(C21="Voda pitná a Voda odpadní","3","0")))</f>
        <v>3</v>
      </c>
      <c r="L21" s="103"/>
      <c r="M21" s="103"/>
      <c r="N21" s="103"/>
      <c r="O21" s="103"/>
      <c r="P21" s="61"/>
      <c r="Q21" s="373"/>
      <c r="R21" s="278"/>
      <c r="S21" s="278"/>
      <c r="T21" s="279"/>
      <c r="U21" s="279"/>
      <c r="V21" s="279"/>
      <c r="W21" s="252"/>
      <c r="X21" s="252"/>
      <c r="Y21" s="252"/>
    </row>
    <row r="22" spans="1:25" x14ac:dyDescent="0.25">
      <c r="A22" s="372"/>
      <c r="B22" s="59"/>
      <c r="C22" s="66"/>
      <c r="D22" s="66"/>
      <c r="E22" s="66"/>
      <c r="F22" s="66"/>
      <c r="G22" s="66"/>
      <c r="H22" s="66"/>
      <c r="I22" s="63"/>
      <c r="J22" s="63"/>
      <c r="K22" s="57"/>
      <c r="L22" s="57"/>
      <c r="M22" s="57"/>
      <c r="N22" s="57"/>
      <c r="O22" s="57"/>
      <c r="P22" s="57"/>
      <c r="Q22" s="373"/>
      <c r="R22" s="278"/>
      <c r="S22" s="278"/>
      <c r="T22" s="279"/>
      <c r="U22" s="279"/>
      <c r="V22" s="279"/>
      <c r="W22" s="252"/>
      <c r="X22" s="252"/>
      <c r="Y22" s="252"/>
    </row>
    <row r="23" spans="1:25" ht="24.75" customHeight="1" x14ac:dyDescent="0.25">
      <c r="A23" s="372"/>
      <c r="B23" s="60"/>
      <c r="C23" s="291" t="s">
        <v>270</v>
      </c>
      <c r="D23" s="231"/>
      <c r="E23" s="231"/>
      <c r="F23" s="234"/>
      <c r="G23" s="54"/>
      <c r="H23" s="829" t="s">
        <v>126</v>
      </c>
      <c r="I23" s="829"/>
      <c r="J23" s="51" t="s">
        <v>123</v>
      </c>
      <c r="K23" s="65"/>
      <c r="L23" s="57"/>
      <c r="M23" s="57"/>
      <c r="N23" s="57"/>
      <c r="O23" s="57"/>
      <c r="P23" s="57"/>
      <c r="Q23" s="373"/>
      <c r="R23" s="281"/>
      <c r="S23" s="278"/>
      <c r="T23" s="279"/>
      <c r="U23" s="279"/>
      <c r="V23" s="279"/>
      <c r="W23" s="252"/>
      <c r="X23" s="252"/>
      <c r="Y23" s="252"/>
    </row>
    <row r="24" spans="1:25" ht="15" customHeight="1" x14ac:dyDescent="0.25">
      <c r="A24" s="372"/>
      <c r="B24" s="64"/>
      <c r="C24" s="232" t="s">
        <v>124</v>
      </c>
      <c r="D24" s="233"/>
      <c r="E24" s="233"/>
      <c r="F24" s="234"/>
      <c r="G24" s="54"/>
      <c r="H24" s="830">
        <v>45383</v>
      </c>
      <c r="I24" s="830"/>
      <c r="J24" s="50">
        <f>IF(ISBLANK(H24),1,YEAR(H24))</f>
        <v>2024</v>
      </c>
      <c r="K24" s="368" t="s">
        <v>307</v>
      </c>
      <c r="L24" s="369"/>
      <c r="M24" s="369"/>
      <c r="N24" s="369"/>
      <c r="O24" s="369"/>
      <c r="P24" s="229"/>
      <c r="Q24" s="373"/>
      <c r="R24" s="252"/>
      <c r="S24" s="252"/>
      <c r="T24" s="252"/>
      <c r="U24" s="252"/>
      <c r="V24" s="279"/>
      <c r="W24" s="252"/>
      <c r="X24" s="252"/>
      <c r="Y24" s="252"/>
    </row>
    <row r="25" spans="1:25" x14ac:dyDescent="0.25">
      <c r="A25" s="372"/>
      <c r="B25" s="64"/>
      <c r="C25" s="232" t="s">
        <v>125</v>
      </c>
      <c r="D25" s="233"/>
      <c r="E25" s="233"/>
      <c r="F25" s="234"/>
      <c r="G25" s="54"/>
      <c r="H25" s="834">
        <v>46022</v>
      </c>
      <c r="I25" s="834"/>
      <c r="J25" s="50">
        <f>IF(ISBLANK(H25),7,YEAR(H25))</f>
        <v>2025</v>
      </c>
      <c r="K25" s="835" t="s">
        <v>306</v>
      </c>
      <c r="L25" s="835"/>
      <c r="M25" s="835"/>
      <c r="N25" s="835"/>
      <c r="O25" s="835"/>
      <c r="P25" s="230"/>
      <c r="Q25" s="373"/>
      <c r="R25" s="282"/>
      <c r="S25" s="282"/>
      <c r="T25" s="282"/>
      <c r="U25" s="282"/>
      <c r="V25" s="282"/>
      <c r="W25" s="282"/>
      <c r="X25" s="282"/>
      <c r="Y25" s="282"/>
    </row>
    <row r="26" spans="1:25" hidden="1" x14ac:dyDescent="0.25">
      <c r="A26" s="372"/>
      <c r="B26" s="64"/>
      <c r="C26" s="31"/>
      <c r="D26" s="31"/>
      <c r="E26" s="31"/>
      <c r="H26" s="439"/>
      <c r="I26" s="439"/>
      <c r="J26" s="27"/>
      <c r="K26" s="835"/>
      <c r="L26" s="835"/>
      <c r="M26" s="835"/>
      <c r="N26" s="835"/>
      <c r="O26" s="835"/>
      <c r="P26" s="230"/>
      <c r="Q26" s="373"/>
      <c r="R26" s="282"/>
      <c r="S26" s="282"/>
      <c r="T26" s="282"/>
      <c r="U26" s="282"/>
      <c r="V26" s="282"/>
      <c r="W26" s="282"/>
      <c r="X26" s="282"/>
      <c r="Y26" s="282"/>
    </row>
    <row r="27" spans="1:25" hidden="1" x14ac:dyDescent="0.25">
      <c r="A27" s="372"/>
      <c r="B27" s="64"/>
      <c r="C27" s="31"/>
      <c r="D27" s="31"/>
      <c r="E27" s="31"/>
      <c r="H27" s="439"/>
      <c r="I27" s="439"/>
      <c r="J27" s="27"/>
      <c r="K27" s="835"/>
      <c r="L27" s="835"/>
      <c r="M27" s="835"/>
      <c r="N27" s="835"/>
      <c r="O27" s="835"/>
      <c r="P27" s="230"/>
      <c r="Q27" s="373"/>
      <c r="R27" s="282"/>
      <c r="S27" s="282"/>
      <c r="T27" s="282"/>
      <c r="U27" s="282"/>
      <c r="V27" s="282"/>
      <c r="W27" s="282"/>
      <c r="X27" s="282"/>
      <c r="Y27" s="282"/>
    </row>
    <row r="28" spans="1:25" x14ac:dyDescent="0.25">
      <c r="A28" s="372"/>
      <c r="B28" s="57"/>
      <c r="C28" s="58"/>
      <c r="D28" s="57"/>
      <c r="E28" s="57"/>
      <c r="F28" s="57"/>
      <c r="G28" s="57"/>
      <c r="H28" s="57"/>
      <c r="I28" s="57"/>
      <c r="J28" s="57"/>
      <c r="K28" s="836"/>
      <c r="L28" s="836"/>
      <c r="M28" s="836"/>
      <c r="N28" s="836"/>
      <c r="O28" s="836"/>
      <c r="P28" s="57"/>
      <c r="Q28" s="372"/>
      <c r="R28" s="278"/>
      <c r="S28" s="278"/>
      <c r="T28" s="279"/>
      <c r="U28" s="279"/>
      <c r="V28" s="279"/>
      <c r="W28" s="252"/>
      <c r="X28" s="252"/>
      <c r="Y28" s="252"/>
    </row>
    <row r="29" spans="1:25" ht="15" customHeight="1" x14ac:dyDescent="0.25">
      <c r="A29" s="372"/>
      <c r="B29" s="57"/>
      <c r="C29" s="242" t="s">
        <v>454</v>
      </c>
      <c r="D29" s="62"/>
      <c r="E29" s="62"/>
      <c r="F29" s="62"/>
      <c r="G29" s="62"/>
      <c r="H29" s="62"/>
      <c r="I29" s="62"/>
      <c r="J29" s="62"/>
      <c r="K29" s="62"/>
      <c r="L29" s="31"/>
      <c r="M29" s="31"/>
      <c r="N29" s="31"/>
      <c r="O29" s="31"/>
      <c r="Q29" s="372"/>
      <c r="R29" s="252"/>
      <c r="S29" s="252"/>
      <c r="T29" s="252"/>
      <c r="U29" s="252"/>
      <c r="V29" s="252"/>
      <c r="W29" s="252"/>
      <c r="X29" s="252"/>
      <c r="Y29" s="252"/>
    </row>
    <row r="30" spans="1:25" x14ac:dyDescent="0.25">
      <c r="A30" s="372"/>
      <c r="B30" s="64"/>
      <c r="C30" s="33"/>
      <c r="D30" s="148" t="s">
        <v>115</v>
      </c>
      <c r="E30" s="50">
        <f>J24</f>
        <v>2024</v>
      </c>
      <c r="F30" s="50">
        <f t="shared" ref="F30:K30" si="0">E30+1</f>
        <v>2025</v>
      </c>
      <c r="G30" s="50">
        <f t="shared" si="0"/>
        <v>2026</v>
      </c>
      <c r="H30" s="50">
        <f t="shared" si="0"/>
        <v>2027</v>
      </c>
      <c r="I30" s="50">
        <f t="shared" si="0"/>
        <v>2028</v>
      </c>
      <c r="J30" s="50">
        <f t="shared" si="0"/>
        <v>2029</v>
      </c>
      <c r="K30" s="50">
        <f t="shared" si="0"/>
        <v>2030</v>
      </c>
      <c r="L30" s="50">
        <f>K30+1</f>
        <v>2031</v>
      </c>
      <c r="M30" s="50">
        <f>L30+1</f>
        <v>2032</v>
      </c>
      <c r="N30" s="50">
        <f>M30+1</f>
        <v>2033</v>
      </c>
      <c r="O30" s="50">
        <f>N30+1</f>
        <v>2034</v>
      </c>
      <c r="P30" s="61"/>
      <c r="Q30" s="372"/>
      <c r="R30" s="283"/>
      <c r="S30" s="283"/>
      <c r="T30" s="283"/>
      <c r="U30" s="283"/>
      <c r="V30" s="283"/>
      <c r="W30" s="283"/>
      <c r="X30" s="283"/>
      <c r="Y30" s="283"/>
    </row>
    <row r="31" spans="1:25" ht="15.75" customHeight="1" x14ac:dyDescent="0.25">
      <c r="A31" s="372"/>
      <c r="B31" s="64"/>
      <c r="C31" s="33" t="s">
        <v>437</v>
      </c>
      <c r="D31" s="764" t="s">
        <v>109</v>
      </c>
      <c r="E31" s="765">
        <v>0.314</v>
      </c>
      <c r="F31" s="765">
        <v>0.314</v>
      </c>
      <c r="G31" s="765">
        <v>0</v>
      </c>
      <c r="H31" s="765">
        <v>0</v>
      </c>
      <c r="I31" s="765">
        <v>0</v>
      </c>
      <c r="J31" s="765">
        <v>0</v>
      </c>
      <c r="K31" s="765">
        <v>0</v>
      </c>
      <c r="L31" s="765">
        <v>0</v>
      </c>
      <c r="M31" s="765">
        <v>0</v>
      </c>
      <c r="N31" s="765">
        <v>0</v>
      </c>
      <c r="O31" s="765">
        <v>0</v>
      </c>
      <c r="Q31" s="372"/>
      <c r="R31" s="283"/>
      <c r="S31" s="283"/>
      <c r="T31" s="283"/>
      <c r="U31" s="283"/>
      <c r="V31" s="283"/>
      <c r="W31" s="283"/>
      <c r="X31" s="283"/>
      <c r="Y31" s="283"/>
    </row>
    <row r="32" spans="1:25" ht="15.75" customHeight="1" x14ac:dyDescent="0.25">
      <c r="A32" s="372"/>
      <c r="B32" s="64"/>
      <c r="C32" s="33" t="s">
        <v>455</v>
      </c>
      <c r="D32" s="764" t="s">
        <v>109</v>
      </c>
      <c r="E32" s="765">
        <v>0</v>
      </c>
      <c r="F32" s="765">
        <v>0</v>
      </c>
      <c r="G32" s="765">
        <v>0</v>
      </c>
      <c r="H32" s="765">
        <v>0</v>
      </c>
      <c r="I32" s="765">
        <v>0</v>
      </c>
      <c r="J32" s="765">
        <v>0</v>
      </c>
      <c r="K32" s="765">
        <v>0</v>
      </c>
      <c r="L32" s="765">
        <v>0</v>
      </c>
      <c r="M32" s="765">
        <v>0</v>
      </c>
      <c r="N32" s="765">
        <v>0</v>
      </c>
      <c r="O32" s="765">
        <v>0</v>
      </c>
      <c r="Q32" s="372"/>
      <c r="R32" s="283"/>
      <c r="S32" s="283"/>
      <c r="T32" s="283"/>
      <c r="U32" s="283"/>
      <c r="V32" s="283"/>
      <c r="W32" s="283"/>
      <c r="X32" s="283"/>
      <c r="Y32" s="283"/>
    </row>
    <row r="33" spans="1:25" ht="15" customHeight="1" x14ac:dyDescent="0.25">
      <c r="A33" s="372"/>
      <c r="B33" s="64"/>
      <c r="C33" s="33" t="s">
        <v>438</v>
      </c>
      <c r="D33" s="764" t="s">
        <v>109</v>
      </c>
      <c r="E33" s="765">
        <v>0.88400000000000001</v>
      </c>
      <c r="F33" s="765">
        <v>0.88400000000000001</v>
      </c>
      <c r="G33" s="765">
        <v>0</v>
      </c>
      <c r="H33" s="765">
        <v>0</v>
      </c>
      <c r="I33" s="765">
        <v>0</v>
      </c>
      <c r="J33" s="765">
        <v>0</v>
      </c>
      <c r="K33" s="765">
        <v>0</v>
      </c>
      <c r="L33" s="765">
        <v>0</v>
      </c>
      <c r="M33" s="765">
        <v>0</v>
      </c>
      <c r="N33" s="765">
        <v>0</v>
      </c>
      <c r="O33" s="765">
        <v>0</v>
      </c>
      <c r="Q33" s="372"/>
      <c r="R33" s="283"/>
      <c r="S33" s="283"/>
      <c r="T33" s="283"/>
      <c r="U33" s="283"/>
      <c r="V33" s="283"/>
      <c r="W33" s="283"/>
      <c r="X33" s="283"/>
      <c r="Y33" s="283"/>
    </row>
    <row r="34" spans="1:25" ht="15" customHeight="1" thickBot="1" x14ac:dyDescent="0.3">
      <c r="A34" s="372"/>
      <c r="B34" s="64"/>
      <c r="C34" s="762" t="s">
        <v>456</v>
      </c>
      <c r="D34" s="761" t="s">
        <v>109</v>
      </c>
      <c r="E34" s="766">
        <v>0</v>
      </c>
      <c r="F34" s="766">
        <v>0</v>
      </c>
      <c r="G34" s="766">
        <v>0</v>
      </c>
      <c r="H34" s="766">
        <v>0</v>
      </c>
      <c r="I34" s="766">
        <v>0</v>
      </c>
      <c r="J34" s="766">
        <v>0</v>
      </c>
      <c r="K34" s="766">
        <v>0</v>
      </c>
      <c r="L34" s="766">
        <v>0</v>
      </c>
      <c r="M34" s="766">
        <v>0</v>
      </c>
      <c r="N34" s="766">
        <v>0</v>
      </c>
      <c r="O34" s="766">
        <v>0</v>
      </c>
      <c r="Q34" s="372"/>
      <c r="R34" s="283"/>
      <c r="S34" s="283"/>
      <c r="T34" s="283"/>
      <c r="U34" s="283"/>
      <c r="V34" s="283"/>
      <c r="W34" s="283"/>
      <c r="X34" s="283"/>
      <c r="Y34" s="283"/>
    </row>
    <row r="35" spans="1:25" ht="15" customHeight="1" x14ac:dyDescent="0.25">
      <c r="A35" s="372"/>
      <c r="B35" s="64"/>
      <c r="C35" s="767" t="s">
        <v>457</v>
      </c>
      <c r="D35" s="763" t="s">
        <v>109</v>
      </c>
      <c r="E35" s="768">
        <f>E31+E32</f>
        <v>0.314</v>
      </c>
      <c r="F35" s="768">
        <f t="shared" ref="F35:O35" si="1">F31+F32</f>
        <v>0.314</v>
      </c>
      <c r="G35" s="768">
        <f t="shared" si="1"/>
        <v>0</v>
      </c>
      <c r="H35" s="768">
        <f t="shared" si="1"/>
        <v>0</v>
      </c>
      <c r="I35" s="768">
        <f t="shared" si="1"/>
        <v>0</v>
      </c>
      <c r="J35" s="768">
        <f t="shared" si="1"/>
        <v>0</v>
      </c>
      <c r="K35" s="768">
        <f t="shared" si="1"/>
        <v>0</v>
      </c>
      <c r="L35" s="768">
        <f t="shared" si="1"/>
        <v>0</v>
      </c>
      <c r="M35" s="768">
        <f t="shared" si="1"/>
        <v>0</v>
      </c>
      <c r="N35" s="768">
        <f t="shared" si="1"/>
        <v>0</v>
      </c>
      <c r="O35" s="768">
        <f t="shared" si="1"/>
        <v>0</v>
      </c>
      <c r="Q35" s="372"/>
      <c r="R35" s="283"/>
      <c r="S35" s="283"/>
      <c r="T35" s="283"/>
      <c r="U35" s="283"/>
      <c r="V35" s="283"/>
      <c r="W35" s="283"/>
      <c r="X35" s="283"/>
      <c r="Y35" s="283"/>
    </row>
    <row r="36" spans="1:25" ht="15" customHeight="1" x14ac:dyDescent="0.25">
      <c r="A36" s="372"/>
      <c r="B36" s="64"/>
      <c r="C36" s="33" t="s">
        <v>458</v>
      </c>
      <c r="D36" s="764" t="s">
        <v>109</v>
      </c>
      <c r="E36" s="72">
        <f>E33+E34</f>
        <v>0.88400000000000001</v>
      </c>
      <c r="F36" s="72">
        <f t="shared" ref="F36:O36" si="2">F33+F34</f>
        <v>0.88400000000000001</v>
      </c>
      <c r="G36" s="72">
        <f t="shared" si="2"/>
        <v>0</v>
      </c>
      <c r="H36" s="72">
        <f t="shared" si="2"/>
        <v>0</v>
      </c>
      <c r="I36" s="72">
        <f t="shared" si="2"/>
        <v>0</v>
      </c>
      <c r="J36" s="72">
        <f t="shared" si="2"/>
        <v>0</v>
      </c>
      <c r="K36" s="72">
        <f t="shared" si="2"/>
        <v>0</v>
      </c>
      <c r="L36" s="72">
        <f t="shared" si="2"/>
        <v>0</v>
      </c>
      <c r="M36" s="72">
        <f t="shared" si="2"/>
        <v>0</v>
      </c>
      <c r="N36" s="72">
        <f t="shared" si="2"/>
        <v>0</v>
      </c>
      <c r="O36" s="72">
        <f t="shared" si="2"/>
        <v>0</v>
      </c>
      <c r="Q36" s="372"/>
      <c r="R36" s="283"/>
      <c r="S36" s="283"/>
      <c r="T36" s="283"/>
      <c r="U36" s="283"/>
      <c r="V36" s="283"/>
      <c r="W36" s="283"/>
      <c r="X36" s="283"/>
      <c r="Y36" s="283"/>
    </row>
    <row r="37" spans="1:25" ht="24" customHeight="1" x14ac:dyDescent="0.25">
      <c r="A37" s="372"/>
      <c r="B37" s="57"/>
      <c r="C37" s="831" t="s">
        <v>459</v>
      </c>
      <c r="D37" s="832"/>
      <c r="E37" s="832"/>
      <c r="F37" s="832"/>
      <c r="G37" s="832"/>
      <c r="H37" s="832"/>
      <c r="I37" s="832"/>
      <c r="J37" s="832"/>
      <c r="K37" s="832"/>
      <c r="L37" s="832"/>
      <c r="M37" s="832"/>
      <c r="N37" s="832"/>
      <c r="O37" s="833"/>
      <c r="P37" s="58" t="s">
        <v>423</v>
      </c>
      <c r="Q37" s="372"/>
      <c r="R37" s="252"/>
      <c r="S37" s="252"/>
      <c r="T37" s="252"/>
      <c r="U37" s="252"/>
      <c r="V37" s="252"/>
      <c r="W37" s="252"/>
      <c r="X37" s="252"/>
      <c r="Y37" s="252"/>
    </row>
    <row r="38" spans="1:25" x14ac:dyDescent="0.25">
      <c r="A38" s="372"/>
      <c r="B38" s="57"/>
      <c r="C38" s="241" t="s">
        <v>432</v>
      </c>
      <c r="D38" s="62"/>
      <c r="E38" s="67"/>
      <c r="F38" s="68"/>
      <c r="G38" s="68"/>
      <c r="H38" s="68"/>
      <c r="I38" s="68"/>
      <c r="J38" s="68"/>
      <c r="K38" s="68"/>
      <c r="L38" s="68"/>
      <c r="M38" s="68"/>
      <c r="N38" s="68"/>
      <c r="O38" s="68"/>
      <c r="P38" s="58"/>
      <c r="Q38" s="372"/>
      <c r="R38" s="252"/>
      <c r="S38" s="252"/>
      <c r="T38" s="252"/>
      <c r="U38" s="252"/>
      <c r="V38" s="252"/>
      <c r="W38" s="252"/>
      <c r="X38" s="252"/>
      <c r="Y38" s="252"/>
    </row>
    <row r="39" spans="1:25" x14ac:dyDescent="0.25">
      <c r="A39" s="372"/>
      <c r="B39" s="64"/>
      <c r="C39" s="33"/>
      <c r="D39" s="148" t="s">
        <v>115</v>
      </c>
      <c r="E39" s="50">
        <f>J24</f>
        <v>2024</v>
      </c>
      <c r="F39" s="50">
        <f t="shared" ref="F39:O39" si="3">E39+1</f>
        <v>2025</v>
      </c>
      <c r="G39" s="50">
        <f t="shared" si="3"/>
        <v>2026</v>
      </c>
      <c r="H39" s="50">
        <f t="shared" si="3"/>
        <v>2027</v>
      </c>
      <c r="I39" s="50">
        <f t="shared" si="3"/>
        <v>2028</v>
      </c>
      <c r="J39" s="50">
        <f t="shared" si="3"/>
        <v>2029</v>
      </c>
      <c r="K39" s="50">
        <f t="shared" si="3"/>
        <v>2030</v>
      </c>
      <c r="L39" s="50">
        <f t="shared" si="3"/>
        <v>2031</v>
      </c>
      <c r="M39" s="50">
        <f t="shared" si="3"/>
        <v>2032</v>
      </c>
      <c r="N39" s="50">
        <f t="shared" si="3"/>
        <v>2033</v>
      </c>
      <c r="O39" s="50">
        <f t="shared" si="3"/>
        <v>2034</v>
      </c>
      <c r="P39" s="61"/>
      <c r="Q39" s="372"/>
      <c r="R39" s="278"/>
      <c r="S39" s="278"/>
      <c r="T39" s="279"/>
      <c r="U39" s="279"/>
      <c r="V39" s="279"/>
      <c r="W39" s="252"/>
      <c r="X39" s="252"/>
      <c r="Y39" s="252"/>
    </row>
    <row r="40" spans="1:25" x14ac:dyDescent="0.25">
      <c r="A40" s="372"/>
      <c r="B40" s="64"/>
      <c r="C40" s="33" t="s">
        <v>110</v>
      </c>
      <c r="D40" s="148" t="s">
        <v>109</v>
      </c>
      <c r="E40" s="388">
        <v>0</v>
      </c>
      <c r="F40" s="388">
        <v>0</v>
      </c>
      <c r="G40" s="388">
        <v>0</v>
      </c>
      <c r="H40" s="388">
        <v>0</v>
      </c>
      <c r="I40" s="388">
        <v>0</v>
      </c>
      <c r="J40" s="388">
        <v>0</v>
      </c>
      <c r="K40" s="388">
        <v>0</v>
      </c>
      <c r="L40" s="388">
        <v>0</v>
      </c>
      <c r="M40" s="388">
        <v>0</v>
      </c>
      <c r="N40" s="388">
        <v>0</v>
      </c>
      <c r="O40" s="388">
        <v>0</v>
      </c>
      <c r="P40" s="61"/>
      <c r="Q40" s="372"/>
      <c r="R40" s="286"/>
      <c r="S40" s="286"/>
      <c r="T40" s="286"/>
      <c r="U40" s="286"/>
      <c r="V40" s="286"/>
      <c r="W40" s="286"/>
      <c r="X40" s="286"/>
      <c r="Y40" s="286"/>
    </row>
    <row r="41" spans="1:25" x14ac:dyDescent="0.25">
      <c r="A41" s="372"/>
      <c r="B41" s="64"/>
      <c r="C41" s="33" t="s">
        <v>111</v>
      </c>
      <c r="D41" s="148" t="s">
        <v>109</v>
      </c>
      <c r="E41" s="388">
        <v>0</v>
      </c>
      <c r="F41" s="388">
        <v>0</v>
      </c>
      <c r="G41" s="388">
        <v>0</v>
      </c>
      <c r="H41" s="388">
        <v>0</v>
      </c>
      <c r="I41" s="388">
        <v>0</v>
      </c>
      <c r="J41" s="388">
        <v>0</v>
      </c>
      <c r="K41" s="388">
        <v>0</v>
      </c>
      <c r="L41" s="388">
        <v>0</v>
      </c>
      <c r="M41" s="388">
        <v>0</v>
      </c>
      <c r="N41" s="388">
        <v>0</v>
      </c>
      <c r="O41" s="388">
        <v>0</v>
      </c>
      <c r="P41" s="61"/>
      <c r="Q41" s="372"/>
      <c r="R41" s="286"/>
      <c r="S41" s="286"/>
      <c r="T41" s="286"/>
      <c r="U41" s="286"/>
      <c r="V41" s="286"/>
      <c r="W41" s="286"/>
      <c r="X41" s="286"/>
      <c r="Y41" s="286"/>
    </row>
    <row r="42" spans="1:25" ht="21" customHeight="1" x14ac:dyDescent="0.25">
      <c r="A42" s="372"/>
      <c r="B42" s="64"/>
      <c r="C42" s="292" t="s">
        <v>435</v>
      </c>
      <c r="D42" s="237"/>
      <c r="E42" s="238"/>
      <c r="F42" s="238"/>
      <c r="G42" s="238"/>
      <c r="H42" s="238"/>
      <c r="I42" s="238"/>
      <c r="J42" s="238"/>
      <c r="K42" s="238"/>
      <c r="L42" s="238"/>
      <c r="M42" s="238"/>
      <c r="N42" s="238"/>
      <c r="O42" s="238"/>
      <c r="P42" s="61"/>
      <c r="Q42" s="372"/>
      <c r="R42" s="276"/>
      <c r="S42" s="276"/>
      <c r="T42" s="276"/>
      <c r="U42" s="276"/>
      <c r="V42" s="276"/>
      <c r="W42" s="276"/>
      <c r="X42" s="276"/>
      <c r="Y42" s="276"/>
    </row>
    <row r="43" spans="1:25" x14ac:dyDescent="0.25">
      <c r="A43" s="372"/>
      <c r="B43" s="64"/>
      <c r="C43" s="241" t="s">
        <v>433</v>
      </c>
      <c r="D43" s="62"/>
      <c r="E43" s="67"/>
      <c r="F43" s="68"/>
      <c r="G43" s="68"/>
      <c r="H43" s="68"/>
      <c r="I43" s="68"/>
      <c r="J43" s="68"/>
      <c r="K43" s="68"/>
      <c r="L43" s="68"/>
      <c r="M43" s="68"/>
      <c r="N43" s="68"/>
      <c r="O43" s="68"/>
      <c r="P43" s="61"/>
      <c r="Q43" s="372"/>
      <c r="R43" s="276"/>
      <c r="S43" s="276"/>
      <c r="T43" s="276"/>
      <c r="U43" s="276"/>
      <c r="V43" s="276"/>
      <c r="W43" s="276"/>
      <c r="X43" s="276"/>
      <c r="Y43" s="276"/>
    </row>
    <row r="44" spans="1:25" x14ac:dyDescent="0.25">
      <c r="A44" s="372"/>
      <c r="B44" s="64"/>
      <c r="C44" s="33"/>
      <c r="D44" s="148" t="s">
        <v>115</v>
      </c>
      <c r="E44" s="50">
        <f>J24</f>
        <v>2024</v>
      </c>
      <c r="F44" s="50">
        <f t="shared" ref="F44:O44" si="4">E44+1</f>
        <v>2025</v>
      </c>
      <c r="G44" s="50">
        <f t="shared" si="4"/>
        <v>2026</v>
      </c>
      <c r="H44" s="50">
        <f t="shared" si="4"/>
        <v>2027</v>
      </c>
      <c r="I44" s="50">
        <f t="shared" si="4"/>
        <v>2028</v>
      </c>
      <c r="J44" s="50">
        <f t="shared" si="4"/>
        <v>2029</v>
      </c>
      <c r="K44" s="50">
        <f t="shared" si="4"/>
        <v>2030</v>
      </c>
      <c r="L44" s="50">
        <f t="shared" si="4"/>
        <v>2031</v>
      </c>
      <c r="M44" s="50">
        <f t="shared" si="4"/>
        <v>2032</v>
      </c>
      <c r="N44" s="50">
        <f t="shared" si="4"/>
        <v>2033</v>
      </c>
      <c r="O44" s="50">
        <f t="shared" si="4"/>
        <v>2034</v>
      </c>
      <c r="P44" s="61"/>
      <c r="Q44" s="372"/>
      <c r="R44" s="276"/>
      <c r="S44" s="276"/>
      <c r="T44" s="276"/>
      <c r="U44" s="276"/>
      <c r="V44" s="276"/>
      <c r="W44" s="276"/>
      <c r="X44" s="276"/>
      <c r="Y44" s="276"/>
    </row>
    <row r="45" spans="1:25" x14ac:dyDescent="0.25">
      <c r="A45" s="372"/>
      <c r="B45" s="64"/>
      <c r="C45" s="33" t="s">
        <v>204</v>
      </c>
      <c r="D45" s="148" t="s">
        <v>203</v>
      </c>
      <c r="E45" s="72">
        <f>Nabídka!G84</f>
        <v>3.3333330000000001E-2</v>
      </c>
      <c r="F45" s="388">
        <v>3.4000000000000002E-2</v>
      </c>
      <c r="G45" s="388">
        <v>0</v>
      </c>
      <c r="H45" s="388">
        <v>0</v>
      </c>
      <c r="I45" s="388">
        <v>0</v>
      </c>
      <c r="J45" s="388">
        <v>0</v>
      </c>
      <c r="K45" s="388">
        <v>0</v>
      </c>
      <c r="L45" s="388">
        <v>0</v>
      </c>
      <c r="M45" s="388">
        <v>0</v>
      </c>
      <c r="N45" s="388">
        <v>0</v>
      </c>
      <c r="O45" s="388">
        <v>0</v>
      </c>
      <c r="P45" s="61"/>
      <c r="Q45" s="372"/>
      <c r="R45" s="286"/>
      <c r="S45" s="286"/>
      <c r="T45" s="286"/>
      <c r="U45" s="286"/>
      <c r="V45" s="286"/>
      <c r="W45" s="286"/>
      <c r="X45" s="286"/>
      <c r="Y45" s="286"/>
    </row>
    <row r="46" spans="1:25" x14ac:dyDescent="0.25">
      <c r="A46" s="372"/>
      <c r="B46" s="64"/>
      <c r="C46" s="33" t="s">
        <v>205</v>
      </c>
      <c r="D46" s="148" t="s">
        <v>203</v>
      </c>
      <c r="E46" s="72">
        <f>Nabídka!H84</f>
        <v>4.3999999999999997E-2</v>
      </c>
      <c r="F46" s="388">
        <v>4.3999999999999997E-2</v>
      </c>
      <c r="G46" s="388">
        <v>0</v>
      </c>
      <c r="H46" s="388">
        <v>0</v>
      </c>
      <c r="I46" s="388">
        <v>0</v>
      </c>
      <c r="J46" s="388">
        <v>0</v>
      </c>
      <c r="K46" s="388">
        <v>0</v>
      </c>
      <c r="L46" s="388">
        <v>0</v>
      </c>
      <c r="M46" s="388">
        <v>0</v>
      </c>
      <c r="N46" s="388">
        <v>0</v>
      </c>
      <c r="O46" s="388">
        <v>0</v>
      </c>
      <c r="P46" s="61"/>
      <c r="Q46" s="372"/>
      <c r="R46" s="286"/>
      <c r="S46" s="286"/>
      <c r="T46" s="286"/>
      <c r="U46" s="286"/>
      <c r="V46" s="286"/>
      <c r="W46" s="286"/>
      <c r="X46" s="286"/>
      <c r="Y46" s="286"/>
    </row>
    <row r="47" spans="1:25" ht="21" customHeight="1" x14ac:dyDescent="0.25">
      <c r="A47" s="372"/>
      <c r="B47" s="57"/>
      <c r="C47" s="292" t="s">
        <v>434</v>
      </c>
      <c r="D47" s="75"/>
      <c r="E47" s="75"/>
      <c r="F47" s="75"/>
      <c r="G47" s="75"/>
      <c r="H47" s="75"/>
      <c r="I47" s="66"/>
      <c r="J47" s="66"/>
      <c r="K47" s="66"/>
      <c r="L47" s="66"/>
      <c r="M47" s="66"/>
      <c r="N47" s="66"/>
      <c r="O47" s="66"/>
      <c r="P47" s="57"/>
      <c r="Q47" s="372"/>
      <c r="R47" s="252"/>
      <c r="S47" s="252"/>
      <c r="T47" s="252"/>
      <c r="U47" s="252"/>
      <c r="V47" s="252"/>
      <c r="W47" s="252"/>
      <c r="X47" s="252"/>
      <c r="Y47" s="252"/>
    </row>
    <row r="48" spans="1:25" x14ac:dyDescent="0.25">
      <c r="A48" s="372"/>
      <c r="B48" s="31"/>
      <c r="C48" s="806" t="s">
        <v>344</v>
      </c>
      <c r="D48" s="806"/>
      <c r="E48" s="806"/>
      <c r="F48" s="806"/>
      <c r="G48" s="806"/>
      <c r="H48" s="806"/>
      <c r="I48" s="806"/>
      <c r="J48" s="806"/>
      <c r="K48" s="806"/>
      <c r="L48" s="806"/>
      <c r="M48" s="806"/>
      <c r="N48" s="806"/>
      <c r="O48" s="389" t="s">
        <v>141</v>
      </c>
      <c r="P48" s="31"/>
      <c r="Q48" s="372"/>
      <c r="R48" s="282"/>
      <c r="S48" s="252"/>
      <c r="T48" s="252"/>
      <c r="U48" s="252"/>
      <c r="V48" s="252"/>
      <c r="W48" s="252"/>
      <c r="X48" s="252"/>
      <c r="Y48" s="252"/>
    </row>
    <row r="49" spans="1:25" ht="15" customHeight="1" x14ac:dyDescent="0.25">
      <c r="A49" s="372"/>
      <c r="B49" s="31"/>
      <c r="C49" s="806" t="s">
        <v>216</v>
      </c>
      <c r="D49" s="806"/>
      <c r="E49" s="806"/>
      <c r="F49" s="806"/>
      <c r="G49" s="806"/>
      <c r="H49" s="806"/>
      <c r="I49" s="806"/>
      <c r="J49" s="806"/>
      <c r="K49" s="806"/>
      <c r="L49" s="806"/>
      <c r="M49" s="806"/>
      <c r="N49" s="806"/>
      <c r="O49" s="389" t="s">
        <v>141</v>
      </c>
      <c r="P49" s="76"/>
      <c r="Q49" s="372"/>
      <c r="R49" s="282"/>
      <c r="S49" s="252"/>
      <c r="T49" s="252"/>
      <c r="U49" s="252"/>
      <c r="V49" s="252"/>
      <c r="W49" s="252"/>
      <c r="X49" s="252"/>
      <c r="Y49" s="252"/>
    </row>
    <row r="50" spans="1:25" x14ac:dyDescent="0.25">
      <c r="A50" s="372"/>
      <c r="B50" s="31"/>
      <c r="C50" s="27"/>
      <c r="D50" s="27"/>
      <c r="E50" s="27"/>
      <c r="F50" s="27"/>
      <c r="G50" s="27"/>
      <c r="H50" s="27"/>
      <c r="I50" s="27"/>
      <c r="J50" s="27"/>
      <c r="K50" s="27"/>
      <c r="L50" s="27"/>
      <c r="M50" s="27"/>
      <c r="N50" s="27"/>
      <c r="O50" s="27"/>
      <c r="P50" s="31"/>
      <c r="Q50" s="372"/>
      <c r="R50" s="252"/>
      <c r="S50" s="252"/>
      <c r="T50" s="252"/>
      <c r="U50" s="252"/>
      <c r="V50" s="252"/>
      <c r="W50" s="252"/>
      <c r="X50" s="252"/>
      <c r="Y50" s="252"/>
    </row>
    <row r="51" spans="1:25" x14ac:dyDescent="0.25">
      <c r="A51" s="84" t="s">
        <v>19</v>
      </c>
      <c r="B51" s="84" t="s">
        <v>274</v>
      </c>
      <c r="C51" s="83"/>
      <c r="D51" s="83"/>
      <c r="E51" s="83"/>
      <c r="F51" s="83"/>
      <c r="G51" s="83"/>
      <c r="H51" s="83"/>
      <c r="I51" s="83"/>
      <c r="J51" s="83"/>
      <c r="K51" s="83"/>
      <c r="L51" s="83"/>
      <c r="M51" s="83"/>
      <c r="N51" s="83"/>
      <c r="O51" s="83"/>
      <c r="P51" s="83"/>
      <c r="Q51" s="83"/>
      <c r="R51" s="278"/>
      <c r="S51" s="278"/>
      <c r="T51" s="279"/>
      <c r="U51" s="279"/>
      <c r="V51" s="279"/>
      <c r="W51" s="252"/>
      <c r="X51" s="252"/>
      <c r="Y51" s="252"/>
    </row>
    <row r="52" spans="1:25" ht="30.75" customHeight="1" x14ac:dyDescent="0.25">
      <c r="A52" s="84"/>
      <c r="B52" s="57"/>
      <c r="C52" s="808" t="s">
        <v>309</v>
      </c>
      <c r="D52" s="809"/>
      <c r="E52" s="809"/>
      <c r="F52" s="809"/>
      <c r="G52" s="809"/>
      <c r="H52" s="809"/>
      <c r="I52" s="809"/>
      <c r="J52" s="809"/>
      <c r="K52" s="809"/>
      <c r="L52" s="809"/>
      <c r="M52" s="809"/>
      <c r="N52" s="809"/>
      <c r="O52" s="810"/>
      <c r="P52" s="57"/>
      <c r="Q52" s="83"/>
      <c r="R52" s="278"/>
      <c r="S52" s="278"/>
      <c r="T52" s="279"/>
      <c r="U52" s="279"/>
      <c r="V52" s="279"/>
      <c r="W52" s="252"/>
      <c r="X52" s="252"/>
      <c r="Y52" s="252"/>
    </row>
    <row r="53" spans="1:25" x14ac:dyDescent="0.25">
      <c r="A53" s="84"/>
      <c r="B53" s="57"/>
      <c r="C53" s="57" t="s">
        <v>267</v>
      </c>
      <c r="D53" s="57"/>
      <c r="E53" s="57"/>
      <c r="F53" s="57"/>
      <c r="G53" s="57"/>
      <c r="H53" s="57"/>
      <c r="I53" s="57"/>
      <c r="J53" s="57"/>
      <c r="K53" s="57"/>
      <c r="L53" s="57"/>
      <c r="M53" s="57"/>
      <c r="N53" s="57"/>
      <c r="O53" s="57"/>
      <c r="P53" s="57"/>
      <c r="Q53" s="83"/>
      <c r="R53" s="278"/>
      <c r="S53" s="278"/>
      <c r="T53" s="279"/>
      <c r="U53" s="279"/>
      <c r="V53" s="279"/>
      <c r="W53" s="252"/>
      <c r="X53" s="252"/>
      <c r="Y53" s="252"/>
    </row>
    <row r="54" spans="1:25" x14ac:dyDescent="0.25">
      <c r="A54" s="84"/>
      <c r="B54" s="31"/>
      <c r="C54" s="31" t="s">
        <v>182</v>
      </c>
      <c r="D54" s="31"/>
      <c r="E54" s="31"/>
      <c r="F54" s="31"/>
      <c r="G54" s="31"/>
      <c r="H54" s="31"/>
      <c r="I54" s="31"/>
      <c r="J54" s="31"/>
      <c r="K54" s="31"/>
      <c r="L54" s="31"/>
      <c r="M54" s="31"/>
      <c r="N54" s="31"/>
      <c r="O54" s="31"/>
      <c r="P54" s="31"/>
      <c r="Q54" s="83"/>
      <c r="R54" s="278"/>
      <c r="S54" s="278"/>
      <c r="T54" s="279"/>
      <c r="U54" s="279"/>
      <c r="V54" s="279"/>
      <c r="W54" s="252"/>
      <c r="X54" s="252"/>
      <c r="Y54" s="252"/>
    </row>
    <row r="55" spans="1:25" x14ac:dyDescent="0.25">
      <c r="A55" s="374" t="s">
        <v>25</v>
      </c>
      <c r="B55" s="374" t="s">
        <v>276</v>
      </c>
      <c r="C55" s="375"/>
      <c r="D55" s="375"/>
      <c r="E55" s="375"/>
      <c r="F55" s="375"/>
      <c r="G55" s="375"/>
      <c r="H55" s="375"/>
      <c r="I55" s="375"/>
      <c r="J55" s="375"/>
      <c r="K55" s="375"/>
      <c r="L55" s="375"/>
      <c r="M55" s="375"/>
      <c r="N55" s="375"/>
      <c r="O55" s="375"/>
      <c r="P55" s="375"/>
      <c r="Q55" s="375"/>
      <c r="R55" s="278"/>
      <c r="S55" s="278"/>
      <c r="T55" s="279"/>
      <c r="U55" s="279"/>
      <c r="V55" s="279"/>
      <c r="W55" s="252"/>
      <c r="X55" s="252"/>
      <c r="Y55" s="252"/>
    </row>
    <row r="56" spans="1:25" ht="6.75" customHeight="1" x14ac:dyDescent="0.25">
      <c r="A56" s="374"/>
      <c r="B56" s="77"/>
      <c r="C56" s="31"/>
      <c r="D56" s="31"/>
      <c r="E56" s="31"/>
      <c r="F56" s="31"/>
      <c r="G56" s="31"/>
      <c r="H56" s="31"/>
      <c r="I56" s="31"/>
      <c r="J56" s="31"/>
      <c r="K56" s="31"/>
      <c r="L56" s="31"/>
      <c r="M56" s="31"/>
      <c r="N56" s="31"/>
      <c r="O56" s="31"/>
      <c r="P56" s="31"/>
      <c r="Q56" s="375"/>
      <c r="R56" s="278"/>
      <c r="S56" s="278"/>
      <c r="T56" s="279"/>
      <c r="U56" s="279"/>
      <c r="V56" s="279"/>
      <c r="W56" s="252"/>
      <c r="X56" s="252"/>
      <c r="Y56" s="252"/>
    </row>
    <row r="57" spans="1:25" x14ac:dyDescent="0.25">
      <c r="A57" s="374"/>
      <c r="B57" s="57"/>
      <c r="C57" s="31" t="s">
        <v>255</v>
      </c>
      <c r="D57" s="31"/>
      <c r="E57" s="31"/>
      <c r="F57" s="31"/>
      <c r="G57" s="31"/>
      <c r="H57" s="31"/>
      <c r="I57" s="31"/>
      <c r="J57" s="31"/>
      <c r="K57" s="31"/>
      <c r="L57" s="31"/>
      <c r="M57" s="31"/>
      <c r="N57" s="31"/>
      <c r="O57" s="31"/>
      <c r="P57" s="57"/>
      <c r="Q57" s="375"/>
      <c r="R57" s="278"/>
      <c r="S57" s="278"/>
      <c r="T57" s="279"/>
      <c r="U57" s="279"/>
      <c r="V57" s="279"/>
      <c r="W57" s="252"/>
      <c r="X57" s="252"/>
      <c r="Y57" s="252"/>
    </row>
    <row r="58" spans="1:25" x14ac:dyDescent="0.25">
      <c r="A58" s="374"/>
      <c r="B58" s="57"/>
      <c r="C58" s="57" t="s">
        <v>233</v>
      </c>
      <c r="D58" s="57"/>
      <c r="E58" s="57"/>
      <c r="F58" s="57"/>
      <c r="G58" s="57"/>
      <c r="H58" s="57"/>
      <c r="I58" s="57"/>
      <c r="J58" s="57"/>
      <c r="K58" s="57"/>
      <c r="L58" s="64"/>
      <c r="M58" s="31"/>
      <c r="N58" s="31"/>
      <c r="O58" s="31"/>
      <c r="P58" s="65"/>
      <c r="Q58" s="375"/>
      <c r="R58" s="278"/>
      <c r="S58" s="278"/>
      <c r="T58" s="279"/>
      <c r="U58" s="279"/>
      <c r="V58" s="279"/>
      <c r="W58" s="252"/>
      <c r="X58" s="252"/>
      <c r="Y58" s="252"/>
    </row>
    <row r="59" spans="1:25" x14ac:dyDescent="0.25">
      <c r="A59" s="374"/>
      <c r="B59" s="57"/>
      <c r="I59" s="57"/>
      <c r="J59" s="57"/>
      <c r="K59" s="57"/>
      <c r="L59" s="64"/>
      <c r="M59" s="31"/>
      <c r="N59" s="31"/>
      <c r="O59" s="31"/>
      <c r="P59" s="65"/>
      <c r="Q59" s="375"/>
      <c r="R59" s="278"/>
      <c r="S59" s="278"/>
      <c r="T59" s="279"/>
      <c r="U59" s="279"/>
      <c r="V59" s="279"/>
      <c r="W59" s="252"/>
      <c r="X59" s="252"/>
      <c r="Y59" s="252"/>
    </row>
    <row r="60" spans="1:25" x14ac:dyDescent="0.25">
      <c r="A60" s="374"/>
      <c r="B60" s="57"/>
      <c r="C60" s="241" t="s">
        <v>272</v>
      </c>
      <c r="D60" s="62"/>
      <c r="E60" s="62"/>
      <c r="F60" s="62"/>
      <c r="G60" s="62"/>
      <c r="H60" s="62"/>
      <c r="I60" s="62"/>
      <c r="J60" s="62"/>
      <c r="K60" s="62"/>
      <c r="L60" s="255"/>
      <c r="M60" s="31"/>
      <c r="N60" s="31"/>
      <c r="O60" s="31"/>
      <c r="P60" s="65"/>
      <c r="Q60" s="375"/>
      <c r="R60" s="278"/>
      <c r="S60" s="278"/>
      <c r="T60" s="279"/>
      <c r="U60" s="279"/>
      <c r="V60" s="279"/>
      <c r="W60" s="252"/>
      <c r="X60" s="252"/>
      <c r="Y60" s="252"/>
    </row>
    <row r="61" spans="1:25" x14ac:dyDescent="0.25">
      <c r="A61" s="374"/>
      <c r="B61" s="64"/>
      <c r="C61" s="811"/>
      <c r="D61" s="811"/>
      <c r="E61" s="811"/>
      <c r="F61" s="811"/>
      <c r="G61" s="811"/>
      <c r="H61" s="71" t="s">
        <v>115</v>
      </c>
      <c r="I61" s="71" t="s">
        <v>107</v>
      </c>
      <c r="J61" s="71" t="s">
        <v>108</v>
      </c>
      <c r="K61" s="839" t="s">
        <v>137</v>
      </c>
      <c r="L61" s="839"/>
      <c r="M61" s="850" t="s">
        <v>222</v>
      </c>
      <c r="N61" s="851"/>
      <c r="O61" s="852"/>
      <c r="P61" s="65"/>
      <c r="Q61" s="375"/>
      <c r="R61" s="252"/>
      <c r="S61" s="252"/>
      <c r="T61" s="252"/>
      <c r="U61" s="252"/>
      <c r="V61" s="252"/>
      <c r="W61" s="252"/>
      <c r="X61" s="252"/>
      <c r="Y61" s="252"/>
    </row>
    <row r="62" spans="1:25" x14ac:dyDescent="0.25">
      <c r="A62" s="374"/>
      <c r="B62" s="64"/>
      <c r="C62" s="807" t="s">
        <v>310</v>
      </c>
      <c r="D62" s="807"/>
      <c r="E62" s="807"/>
      <c r="F62" s="807"/>
      <c r="G62" s="807"/>
      <c r="H62" s="362" t="s">
        <v>73</v>
      </c>
      <c r="I62" s="363">
        <f>IF(AND(K18="2",OR(K21="1",K21="3")),Nabídka!G85,0)</f>
        <v>24.569997026129698</v>
      </c>
      <c r="J62" s="363">
        <f>IF(AND(K18="2",OR(K21="2",K21="3")),Nabídka!H85,0)</f>
        <v>49.181823772727277</v>
      </c>
      <c r="K62" s="840">
        <f>IF(K21="3",I62+J62,0)</f>
        <v>73.751820798856983</v>
      </c>
      <c r="L62" s="841"/>
      <c r="M62" s="818">
        <v>1</v>
      </c>
      <c r="N62" s="818"/>
      <c r="O62" s="818"/>
      <c r="P62" s="65"/>
      <c r="Q62" s="375"/>
      <c r="R62" s="252"/>
      <c r="S62" s="252"/>
      <c r="T62" s="252"/>
      <c r="U62" s="252"/>
      <c r="V62" s="252"/>
      <c r="W62" s="252"/>
      <c r="X62" s="252"/>
      <c r="Y62" s="252"/>
    </row>
    <row r="63" spans="1:25" x14ac:dyDescent="0.25">
      <c r="A63" s="374"/>
      <c r="B63" s="64"/>
      <c r="C63" s="812" t="s">
        <v>311</v>
      </c>
      <c r="D63" s="813"/>
      <c r="E63" s="813"/>
      <c r="F63" s="813"/>
      <c r="G63" s="814"/>
      <c r="H63" s="362" t="s">
        <v>231</v>
      </c>
      <c r="I63" s="363">
        <f>IF(AND(K18="2",OR(K21="1",K21="3")),Nabídka!J85,0)</f>
        <v>0</v>
      </c>
      <c r="J63" s="363">
        <f>IF(AND(K18="2",OR(K21="2",K21="3")),Nabídka!K85,0)</f>
        <v>0</v>
      </c>
      <c r="K63" s="840">
        <f>IF(K21="3",I63+J63,0)</f>
        <v>0</v>
      </c>
      <c r="L63" s="841"/>
      <c r="M63" s="818">
        <v>0</v>
      </c>
      <c r="N63" s="818"/>
      <c r="O63" s="818"/>
      <c r="P63" s="65"/>
      <c r="Q63" s="375"/>
      <c r="R63" s="252"/>
      <c r="S63" s="252"/>
      <c r="T63" s="252"/>
      <c r="U63" s="252"/>
      <c r="V63" s="252"/>
      <c r="W63" s="252"/>
      <c r="X63" s="252"/>
      <c r="Y63" s="252"/>
    </row>
    <row r="64" spans="1:25" x14ac:dyDescent="0.25">
      <c r="A64" s="374"/>
      <c r="B64" s="64"/>
      <c r="C64" s="216"/>
      <c r="D64" s="102"/>
      <c r="E64" s="102"/>
      <c r="F64" s="102"/>
      <c r="G64" s="74"/>
      <c r="H64" s="106"/>
      <c r="I64" s="106"/>
      <c r="J64" s="107"/>
      <c r="K64" s="107"/>
      <c r="L64" s="64"/>
      <c r="M64" s="817" t="s">
        <v>251</v>
      </c>
      <c r="N64" s="817"/>
      <c r="O64" s="817"/>
      <c r="P64" s="65"/>
      <c r="Q64" s="375"/>
      <c r="R64" s="278"/>
      <c r="S64" s="278"/>
      <c r="T64" s="279"/>
      <c r="U64" s="279"/>
      <c r="V64" s="279"/>
      <c r="W64" s="252"/>
      <c r="X64" s="252"/>
      <c r="Y64" s="252"/>
    </row>
    <row r="65" spans="1:25" x14ac:dyDescent="0.25">
      <c r="A65" s="374"/>
      <c r="B65" s="64"/>
      <c r="C65" s="838"/>
      <c r="D65" s="838"/>
      <c r="E65" s="838"/>
      <c r="F65" s="838"/>
      <c r="G65" s="74"/>
      <c r="H65" s="108"/>
      <c r="I65" s="109"/>
      <c r="J65" s="73"/>
      <c r="K65" s="63"/>
      <c r="L65" s="57"/>
      <c r="M65" s="815">
        <f>IF(K18="2",M63,IF(K18="1",M69,0))</f>
        <v>0</v>
      </c>
      <c r="N65" s="816"/>
      <c r="O65" s="816"/>
      <c r="P65" s="65"/>
      <c r="Q65" s="375"/>
      <c r="R65" s="278"/>
      <c r="S65" s="278"/>
      <c r="T65" s="279"/>
      <c r="U65" s="279"/>
      <c r="V65" s="279"/>
      <c r="W65" s="252"/>
      <c r="X65" s="252"/>
      <c r="Y65" s="252"/>
    </row>
    <row r="66" spans="1:25" x14ac:dyDescent="0.25">
      <c r="A66" s="374"/>
      <c r="B66" s="57"/>
      <c r="C66" s="241" t="s">
        <v>273</v>
      </c>
      <c r="D66" s="62"/>
      <c r="E66" s="62"/>
      <c r="F66" s="69"/>
      <c r="G66" s="69"/>
      <c r="H66" s="69"/>
      <c r="I66" s="62"/>
      <c r="J66" s="57"/>
      <c r="K66" s="57"/>
      <c r="L66" s="57"/>
      <c r="M66" s="57"/>
      <c r="N66" s="57"/>
      <c r="O66" s="31"/>
      <c r="P66" s="65"/>
      <c r="Q66" s="375"/>
      <c r="R66" s="278"/>
      <c r="S66" s="278"/>
      <c r="T66" s="279"/>
      <c r="U66" s="279"/>
      <c r="V66" s="279"/>
      <c r="W66" s="252"/>
      <c r="X66" s="252"/>
      <c r="Y66" s="252"/>
    </row>
    <row r="67" spans="1:25" x14ac:dyDescent="0.25">
      <c r="A67" s="374"/>
      <c r="B67" s="64"/>
      <c r="C67" s="819"/>
      <c r="D67" s="819"/>
      <c r="E67" s="819"/>
      <c r="F67" s="819"/>
      <c r="G67" s="819"/>
      <c r="H67" s="71" t="s">
        <v>115</v>
      </c>
      <c r="I67" s="71" t="s">
        <v>110</v>
      </c>
      <c r="J67" s="71" t="s">
        <v>111</v>
      </c>
      <c r="K67" s="839" t="s">
        <v>139</v>
      </c>
      <c r="L67" s="839"/>
      <c r="M67" s="846" t="s">
        <v>222</v>
      </c>
      <c r="N67" s="847"/>
      <c r="O67" s="848"/>
      <c r="P67" s="65"/>
      <c r="Q67" s="375"/>
      <c r="R67" s="284"/>
      <c r="S67" s="252"/>
      <c r="T67" s="252"/>
      <c r="U67" s="252"/>
      <c r="V67" s="252"/>
      <c r="W67" s="252"/>
      <c r="X67" s="252"/>
      <c r="Y67" s="252"/>
    </row>
    <row r="68" spans="1:25" x14ac:dyDescent="0.25">
      <c r="A68" s="374"/>
      <c r="B68" s="64"/>
      <c r="C68" s="807" t="s">
        <v>223</v>
      </c>
      <c r="D68" s="807"/>
      <c r="E68" s="807"/>
      <c r="F68" s="807"/>
      <c r="G68" s="807"/>
      <c r="H68" s="364" t="s">
        <v>138</v>
      </c>
      <c r="I68" s="365">
        <f>IF(AND(K18="1",OR(K21="1",K21="3")),Nabídka!F42,0)</f>
        <v>0</v>
      </c>
      <c r="J68" s="365">
        <f>IF(AND(K18="1",OR(K21="2",K21="3")),Nabídka!H42,0)</f>
        <v>0</v>
      </c>
      <c r="K68" s="842">
        <f>IF(K21="3",I68+J68,0)</f>
        <v>0</v>
      </c>
      <c r="L68" s="843"/>
      <c r="M68" s="849">
        <v>1</v>
      </c>
      <c r="N68" s="849"/>
      <c r="O68" s="849"/>
      <c r="P68" s="65"/>
      <c r="Q68" s="375"/>
      <c r="R68" s="278"/>
      <c r="S68" s="252"/>
      <c r="T68" s="252"/>
      <c r="U68" s="252"/>
      <c r="V68" s="252"/>
      <c r="W68" s="252"/>
      <c r="X68" s="252"/>
      <c r="Y68" s="252"/>
    </row>
    <row r="69" spans="1:25" x14ac:dyDescent="0.25">
      <c r="A69" s="374"/>
      <c r="B69" s="64"/>
      <c r="C69" s="807" t="s">
        <v>224</v>
      </c>
      <c r="D69" s="807"/>
      <c r="E69" s="807"/>
      <c r="F69" s="807"/>
      <c r="G69" s="807"/>
      <c r="H69" s="364" t="s">
        <v>231</v>
      </c>
      <c r="I69" s="366">
        <f>IF(AND(K18="1",OR(K21="1",K21="3")),Nabídka!J85,0)</f>
        <v>0</v>
      </c>
      <c r="J69" s="367">
        <f>IF(AND(K18="1",OR(K21="2",K21="3")),Nabídka!K85,0)</f>
        <v>0</v>
      </c>
      <c r="K69" s="844">
        <f>IF(K21="3",I69+J69,0)</f>
        <v>0</v>
      </c>
      <c r="L69" s="845"/>
      <c r="M69" s="849">
        <v>0</v>
      </c>
      <c r="N69" s="849"/>
      <c r="O69" s="849"/>
      <c r="P69" s="65"/>
      <c r="Q69" s="375"/>
      <c r="R69" s="278"/>
      <c r="S69" s="252"/>
      <c r="T69" s="252"/>
      <c r="U69" s="252"/>
      <c r="V69" s="252"/>
      <c r="W69" s="252"/>
      <c r="X69" s="252"/>
      <c r="Y69" s="252"/>
    </row>
    <row r="70" spans="1:25" x14ac:dyDescent="0.25">
      <c r="A70" s="374"/>
      <c r="B70" s="64"/>
      <c r="C70" s="216"/>
      <c r="D70" s="216"/>
      <c r="E70" s="216"/>
      <c r="F70" s="216"/>
      <c r="G70" s="217"/>
      <c r="H70" s="218"/>
      <c r="I70" s="218"/>
      <c r="J70" s="219"/>
      <c r="K70" s="219"/>
      <c r="L70" s="219"/>
      <c r="M70" s="817" t="s">
        <v>251</v>
      </c>
      <c r="N70" s="817"/>
      <c r="O70" s="817"/>
      <c r="P70" s="65"/>
      <c r="Q70" s="375"/>
      <c r="R70" s="278"/>
      <c r="S70" s="278"/>
      <c r="T70" s="279"/>
      <c r="U70" s="279"/>
      <c r="V70" s="279"/>
      <c r="W70" s="252"/>
      <c r="X70" s="252"/>
      <c r="Y70" s="252"/>
    </row>
    <row r="71" spans="1:25" x14ac:dyDescent="0.25">
      <c r="A71" s="374"/>
      <c r="B71" s="64"/>
      <c r="C71" s="74"/>
      <c r="D71" s="27"/>
      <c r="E71" s="27"/>
      <c r="F71" s="27"/>
      <c r="G71" s="74"/>
      <c r="H71" s="110"/>
      <c r="I71" s="27"/>
      <c r="J71" s="65"/>
      <c r="K71" s="57"/>
      <c r="L71" s="57"/>
      <c r="M71" s="63"/>
      <c r="N71" s="63"/>
      <c r="O71" s="63"/>
      <c r="P71" s="57"/>
      <c r="Q71" s="375"/>
      <c r="R71" s="278"/>
      <c r="S71" s="278"/>
      <c r="T71" s="279"/>
      <c r="U71" s="279"/>
      <c r="V71" s="279"/>
      <c r="W71" s="252"/>
      <c r="X71" s="252"/>
      <c r="Y71" s="252"/>
    </row>
    <row r="72" spans="1:25" x14ac:dyDescent="0.25">
      <c r="A72" s="376" t="s">
        <v>28</v>
      </c>
      <c r="B72" s="376" t="s">
        <v>277</v>
      </c>
      <c r="C72" s="377"/>
      <c r="D72" s="377"/>
      <c r="E72" s="377"/>
      <c r="F72" s="377"/>
      <c r="G72" s="377"/>
      <c r="H72" s="377"/>
      <c r="I72" s="377"/>
      <c r="J72" s="377"/>
      <c r="K72" s="377"/>
      <c r="L72" s="377"/>
      <c r="M72" s="377"/>
      <c r="N72" s="377"/>
      <c r="O72" s="377"/>
      <c r="P72" s="377"/>
      <c r="Q72" s="377"/>
      <c r="R72" s="278"/>
      <c r="S72" s="278"/>
      <c r="T72" s="279"/>
      <c r="U72" s="279"/>
      <c r="V72" s="279"/>
      <c r="W72" s="252"/>
      <c r="X72" s="252"/>
      <c r="Y72" s="252"/>
    </row>
    <row r="73" spans="1:25" ht="30" customHeight="1" x14ac:dyDescent="0.25">
      <c r="A73" s="376"/>
      <c r="B73" s="31"/>
      <c r="C73" s="805" t="s">
        <v>278</v>
      </c>
      <c r="D73" s="805"/>
      <c r="E73" s="805"/>
      <c r="F73" s="805"/>
      <c r="G73" s="805"/>
      <c r="H73" s="805"/>
      <c r="I73" s="805"/>
      <c r="J73" s="805"/>
      <c r="K73" s="805"/>
      <c r="L73" s="805"/>
      <c r="M73" s="805"/>
      <c r="N73" s="805"/>
      <c r="O73" s="805"/>
      <c r="P73" s="31"/>
      <c r="Q73" s="377"/>
      <c r="R73" s="286"/>
      <c r="S73" s="286"/>
      <c r="T73" s="286"/>
      <c r="U73" s="286"/>
      <c r="V73" s="286"/>
      <c r="W73" s="286"/>
      <c r="X73" s="286"/>
      <c r="Y73" s="286"/>
    </row>
    <row r="74" spans="1:25" x14ac:dyDescent="0.25">
      <c r="A74" s="376"/>
      <c r="B74" s="31"/>
      <c r="C74" s="31"/>
      <c r="D74" s="31"/>
      <c r="E74" s="31"/>
      <c r="F74" s="31"/>
      <c r="G74" s="34"/>
      <c r="H74" s="34"/>
      <c r="I74" s="31"/>
      <c r="J74" s="31"/>
      <c r="K74" s="31"/>
      <c r="L74" s="31"/>
      <c r="M74" s="31"/>
      <c r="N74" s="31"/>
      <c r="O74" s="31"/>
      <c r="P74" s="31"/>
      <c r="Q74" s="377"/>
      <c r="R74" s="278"/>
      <c r="S74" s="278"/>
      <c r="T74" s="279"/>
      <c r="U74" s="279"/>
      <c r="V74" s="279"/>
      <c r="W74" s="252"/>
      <c r="X74" s="252"/>
      <c r="Y74" s="252"/>
    </row>
    <row r="75" spans="1:25" x14ac:dyDescent="0.25">
      <c r="A75" s="378" t="s">
        <v>35</v>
      </c>
      <c r="B75" s="378" t="s">
        <v>263</v>
      </c>
      <c r="C75" s="379"/>
      <c r="D75" s="379"/>
      <c r="E75" s="379"/>
      <c r="F75" s="379"/>
      <c r="G75" s="379"/>
      <c r="H75" s="379"/>
      <c r="I75" s="379"/>
      <c r="J75" s="379"/>
      <c r="K75" s="379"/>
      <c r="L75" s="379"/>
      <c r="M75" s="379"/>
      <c r="N75" s="379"/>
      <c r="O75" s="379"/>
      <c r="P75" s="379"/>
      <c r="Q75" s="379"/>
      <c r="R75" s="278"/>
      <c r="S75" s="278"/>
      <c r="T75" s="279"/>
      <c r="U75" s="279"/>
      <c r="V75" s="279"/>
      <c r="W75" s="252"/>
      <c r="X75" s="252"/>
      <c r="Y75" s="252"/>
    </row>
    <row r="76" spans="1:25" ht="46.5" customHeight="1" x14ac:dyDescent="0.25">
      <c r="A76" s="378"/>
      <c r="B76" s="31"/>
      <c r="C76" s="837" t="s">
        <v>312</v>
      </c>
      <c r="D76" s="837"/>
      <c r="E76" s="837"/>
      <c r="F76" s="837"/>
      <c r="G76" s="837"/>
      <c r="H76" s="837"/>
      <c r="I76" s="837"/>
      <c r="J76" s="837"/>
      <c r="K76" s="837"/>
      <c r="L76" s="837"/>
      <c r="M76" s="837"/>
      <c r="N76" s="837"/>
      <c r="O76" s="837"/>
      <c r="P76" s="31"/>
      <c r="Q76" s="379"/>
      <c r="R76" s="278"/>
      <c r="S76" s="278"/>
      <c r="T76" s="279"/>
      <c r="U76" s="279"/>
      <c r="V76" s="279"/>
      <c r="W76" s="252"/>
      <c r="X76" s="252"/>
      <c r="Y76" s="252"/>
    </row>
    <row r="77" spans="1:25" ht="21.75" customHeight="1" x14ac:dyDescent="0.25">
      <c r="A77" s="378"/>
      <c r="B77" s="31"/>
      <c r="C77" s="837" t="s">
        <v>264</v>
      </c>
      <c r="D77" s="837"/>
      <c r="E77" s="837"/>
      <c r="F77" s="837"/>
      <c r="G77" s="837"/>
      <c r="H77" s="837"/>
      <c r="I77" s="837"/>
      <c r="J77" s="837"/>
      <c r="K77" s="837"/>
      <c r="L77" s="837"/>
      <c r="M77" s="837"/>
      <c r="N77" s="837"/>
      <c r="O77" s="837"/>
      <c r="P77" s="31"/>
      <c r="Q77" s="379"/>
      <c r="R77" s="278"/>
      <c r="S77" s="278"/>
      <c r="T77" s="279"/>
      <c r="U77" s="279"/>
      <c r="V77" s="279"/>
      <c r="W77" s="252"/>
      <c r="X77" s="252"/>
      <c r="Y77" s="252"/>
    </row>
    <row r="78" spans="1:25" x14ac:dyDescent="0.25">
      <c r="A78" s="378"/>
      <c r="B78" s="31"/>
      <c r="C78" s="384" t="s">
        <v>308</v>
      </c>
      <c r="D78" s="385"/>
      <c r="E78" s="385"/>
      <c r="F78" s="385"/>
      <c r="G78" s="385"/>
      <c r="H78" s="385"/>
      <c r="I78" s="385"/>
      <c r="J78" s="389" t="s">
        <v>141</v>
      </c>
      <c r="K78" s="278"/>
      <c r="L78" s="278"/>
      <c r="M78" s="278"/>
      <c r="N78" s="278"/>
      <c r="P78" s="31"/>
      <c r="Q78" s="379"/>
      <c r="R78" s="278"/>
      <c r="S78" s="278"/>
      <c r="T78" s="279"/>
      <c r="U78" s="279"/>
      <c r="V78" s="279"/>
      <c r="W78" s="252"/>
      <c r="X78" s="252"/>
      <c r="Y78" s="252"/>
    </row>
    <row r="79" spans="1:25" x14ac:dyDescent="0.25">
      <c r="A79" s="379"/>
      <c r="B79" s="31"/>
      <c r="C79" s="164"/>
      <c r="D79" s="164"/>
      <c r="E79" s="164"/>
      <c r="F79" s="164"/>
      <c r="G79" s="164"/>
      <c r="H79" s="164"/>
      <c r="I79" s="164"/>
      <c r="J79" s="164"/>
      <c r="K79" s="164"/>
      <c r="L79" s="164"/>
      <c r="M79" s="164"/>
      <c r="N79" s="164"/>
      <c r="O79" s="164"/>
      <c r="P79" s="31"/>
      <c r="Q79" s="379"/>
      <c r="R79" s="278"/>
      <c r="S79" s="278"/>
      <c r="T79" s="279"/>
      <c r="U79" s="279"/>
      <c r="V79" s="279"/>
      <c r="W79" s="252"/>
      <c r="X79" s="252"/>
      <c r="Y79" s="252"/>
    </row>
    <row r="80" spans="1:25" ht="3.75" customHeight="1" x14ac:dyDescent="0.25">
      <c r="A80" s="378"/>
      <c r="B80" s="378"/>
      <c r="C80" s="378"/>
      <c r="D80" s="378"/>
      <c r="E80" s="378"/>
      <c r="F80" s="378"/>
      <c r="G80" s="378"/>
      <c r="H80" s="378"/>
      <c r="I80" s="378"/>
      <c r="J80" s="378"/>
      <c r="K80" s="378"/>
      <c r="L80" s="378"/>
      <c r="M80" s="378"/>
      <c r="N80" s="378"/>
      <c r="O80" s="378"/>
      <c r="P80" s="378"/>
      <c r="Q80" s="378"/>
      <c r="R80" s="285"/>
      <c r="S80" s="285"/>
      <c r="T80" s="252"/>
      <c r="U80" s="252"/>
      <c r="V80" s="252"/>
      <c r="W80" s="252"/>
      <c r="X80" s="252"/>
      <c r="Y80" s="252"/>
    </row>
    <row r="81" spans="1:25" x14ac:dyDescent="0.25">
      <c r="A81" s="35"/>
      <c r="B81" s="35"/>
      <c r="C81" s="35"/>
      <c r="D81" s="35"/>
      <c r="E81" s="35"/>
      <c r="F81" s="35"/>
      <c r="G81" s="35"/>
      <c r="H81" s="35"/>
      <c r="I81" s="35"/>
      <c r="J81" s="35"/>
      <c r="K81" s="35"/>
      <c r="L81" s="35"/>
      <c r="M81" s="35"/>
      <c r="N81" s="35"/>
      <c r="O81" s="35"/>
      <c r="P81" s="35"/>
      <c r="Q81" s="35"/>
      <c r="R81" s="285"/>
      <c r="S81" s="285"/>
      <c r="T81" s="252"/>
      <c r="U81" s="252"/>
      <c r="V81" s="252"/>
      <c r="W81" s="252"/>
      <c r="X81" s="252"/>
      <c r="Y81" s="252"/>
    </row>
    <row r="82" spans="1:25" x14ac:dyDescent="0.25">
      <c r="C82" s="29"/>
      <c r="R82" s="252"/>
      <c r="S82" s="252"/>
      <c r="T82" s="252"/>
      <c r="U82" s="252"/>
      <c r="V82" s="252"/>
      <c r="W82" s="252"/>
      <c r="X82" s="252"/>
      <c r="Y82" s="252"/>
    </row>
  </sheetData>
  <sheetProtection password="B65E" sheet="1" objects="1" scenarios="1"/>
  <mergeCells count="36">
    <mergeCell ref="C37:O37"/>
    <mergeCell ref="H25:I25"/>
    <mergeCell ref="K25:O28"/>
    <mergeCell ref="C77:O77"/>
    <mergeCell ref="C76:O76"/>
    <mergeCell ref="C65:F65"/>
    <mergeCell ref="K61:L61"/>
    <mergeCell ref="K62:L62"/>
    <mergeCell ref="K67:L67"/>
    <mergeCell ref="K68:L68"/>
    <mergeCell ref="K63:L63"/>
    <mergeCell ref="K69:L69"/>
    <mergeCell ref="M67:O67"/>
    <mergeCell ref="M68:O68"/>
    <mergeCell ref="M69:O69"/>
    <mergeCell ref="M61:O61"/>
    <mergeCell ref="C2:P3"/>
    <mergeCell ref="C21:J21"/>
    <mergeCell ref="C18:J18"/>
    <mergeCell ref="H23:I23"/>
    <mergeCell ref="H24:I24"/>
    <mergeCell ref="C73:O73"/>
    <mergeCell ref="C48:N48"/>
    <mergeCell ref="C49:N49"/>
    <mergeCell ref="C69:G69"/>
    <mergeCell ref="C52:O52"/>
    <mergeCell ref="C61:G61"/>
    <mergeCell ref="C62:G62"/>
    <mergeCell ref="C63:G63"/>
    <mergeCell ref="M65:O65"/>
    <mergeCell ref="M64:O64"/>
    <mergeCell ref="M70:O70"/>
    <mergeCell ref="C68:G68"/>
    <mergeCell ref="M63:O63"/>
    <mergeCell ref="C67:G67"/>
    <mergeCell ref="M62:O62"/>
  </mergeCells>
  <conditionalFormatting sqref="C61:C63 H61:H63">
    <cfRule type="expression" dxfId="614" priority="630">
      <formula>$K$18="2"</formula>
    </cfRule>
  </conditionalFormatting>
  <conditionalFormatting sqref="C61:C63 H61:L63">
    <cfRule type="expression" dxfId="613" priority="309" stopIfTrue="1">
      <formula>OR($K$18="1",$K$18="0")</formula>
    </cfRule>
  </conditionalFormatting>
  <conditionalFormatting sqref="C67:C69 H67:H69">
    <cfRule type="expression" dxfId="612" priority="633">
      <formula>$K$18="1"</formula>
    </cfRule>
  </conditionalFormatting>
  <conditionalFormatting sqref="C67:C69 H67:L69">
    <cfRule type="expression" dxfId="611" priority="308" stopIfTrue="1">
      <formula>OR($K$18="2",$K$18="0")</formula>
    </cfRule>
  </conditionalFormatting>
  <conditionalFormatting sqref="C63:L63">
    <cfRule type="expression" dxfId="610" priority="620">
      <formula>$M$63=0</formula>
    </cfRule>
  </conditionalFormatting>
  <conditionalFormatting sqref="C69:L69">
    <cfRule type="expression" dxfId="609" priority="622">
      <formula>$M$69=0</formula>
    </cfRule>
  </conditionalFormatting>
  <conditionalFormatting sqref="E32:E33">
    <cfRule type="expression" dxfId="608" priority="119">
      <formula>$K$18="1"</formula>
    </cfRule>
  </conditionalFormatting>
  <conditionalFormatting sqref="E33:E34">
    <cfRule type="expression" dxfId="607" priority="94">
      <formula>AND($K$18="2",OR($K$21="2",$K$21="3"))</formula>
    </cfRule>
    <cfRule type="expression" dxfId="606" priority="96">
      <formula>OR($K$18="0",OR($K$21="0",$K$21="1"))</formula>
    </cfRule>
  </conditionalFormatting>
  <conditionalFormatting sqref="E34:E36">
    <cfRule type="expression" dxfId="605" priority="95">
      <formula>$K$18="1"</formula>
    </cfRule>
  </conditionalFormatting>
  <conditionalFormatting sqref="E36:F36">
    <cfRule type="expression" dxfId="604" priority="283">
      <formula>OR($K$18="0",OR($K$21="0",$K$21="1"))</formula>
    </cfRule>
  </conditionalFormatting>
  <conditionalFormatting sqref="E35:G35">
    <cfRule type="expression" dxfId="603" priority="236">
      <formula>OR($K$18="0",OR($K$21="0",$K$21="2"))</formula>
    </cfRule>
  </conditionalFormatting>
  <conditionalFormatting sqref="E31:O31">
    <cfRule type="expression" dxfId="602" priority="151">
      <formula>OR($K$18="0",OR($K$21="0",$K$21="2"))</formula>
    </cfRule>
    <cfRule type="expression" dxfId="601" priority="150">
      <formula>$K$18="1"</formula>
    </cfRule>
    <cfRule type="expression" dxfId="600" priority="149">
      <formula>AND($K$18="2",OR($K$21="1",$K$21="3"))</formula>
    </cfRule>
  </conditionalFormatting>
  <conditionalFormatting sqref="E32:O32">
    <cfRule type="expression" dxfId="599" priority="102">
      <formula>AND($K$18="2",OR($K$21="1",$K$21="3"))</formula>
    </cfRule>
    <cfRule type="expression" dxfId="598" priority="104">
      <formula>OR($K$18="0",OR($K$21="0",$K$21="2"))</formula>
    </cfRule>
  </conditionalFormatting>
  <conditionalFormatting sqref="E40:O40">
    <cfRule type="expression" dxfId="597" priority="364">
      <formula>OR($K$18="0",OR($K$21="0",$K$21="2"))</formula>
    </cfRule>
    <cfRule type="expression" dxfId="596" priority="363">
      <formula>AND(OR($K$18="2",$K$18="1"),OR($K$21="1",$K$21="3"))</formula>
    </cfRule>
  </conditionalFormatting>
  <conditionalFormatting sqref="E41:O41">
    <cfRule type="expression" dxfId="595" priority="366">
      <formula>AND(OR($K$18="2",$K$18="1"),OR($K$21="2",$K$21="3"))</formula>
    </cfRule>
    <cfRule type="expression" dxfId="594" priority="367">
      <formula>OR($K$18="0",OR($K$21="0",$K$21="1"))</formula>
    </cfRule>
  </conditionalFormatting>
  <conditionalFormatting sqref="F35:F36">
    <cfRule type="expression" dxfId="593" priority="232">
      <formula>"postup!K18=""2"""</formula>
    </cfRule>
  </conditionalFormatting>
  <conditionalFormatting sqref="F36">
    <cfRule type="expression" dxfId="592" priority="280">
      <formula>$J$25&lt;F30</formula>
    </cfRule>
    <cfRule type="expression" dxfId="591" priority="282">
      <formula>$K$18="1"</formula>
    </cfRule>
  </conditionalFormatting>
  <conditionalFormatting sqref="F35:G35">
    <cfRule type="expression" dxfId="590" priority="235">
      <formula>$K$18="1"</formula>
    </cfRule>
    <cfRule type="expression" dxfId="589" priority="233">
      <formula>$J$25&lt;F30</formula>
    </cfRule>
  </conditionalFormatting>
  <conditionalFormatting sqref="F30:O30">
    <cfRule type="expression" dxfId="588" priority="316">
      <formula>$J$25&lt;F30</formula>
    </cfRule>
  </conditionalFormatting>
  <conditionalFormatting sqref="F31:O31">
    <cfRule type="expression" dxfId="587" priority="148">
      <formula>$J$25&lt;F30</formula>
    </cfRule>
  </conditionalFormatting>
  <conditionalFormatting sqref="F32:O32">
    <cfRule type="expression" dxfId="586" priority="101">
      <formula>$J$25&lt;F30</formula>
    </cfRule>
    <cfRule type="expression" dxfId="585" priority="103">
      <formula>$K$18="1"</formula>
    </cfRule>
  </conditionalFormatting>
  <conditionalFormatting sqref="F33:O33">
    <cfRule type="expression" dxfId="584" priority="128">
      <formula>OR($K$18="0",OR($K$21="0",$K$21="1"))</formula>
    </cfRule>
    <cfRule type="expression" dxfId="583" priority="126">
      <formula>AND($K$18="2",OR($K$21="2",$K$21="3"))</formula>
    </cfRule>
    <cfRule type="expression" dxfId="582" priority="125">
      <formula>$J$25&lt;F30</formula>
    </cfRule>
    <cfRule type="expression" dxfId="581" priority="127">
      <formula>$K$18="1"</formula>
    </cfRule>
  </conditionalFormatting>
  <conditionalFormatting sqref="F34:O34">
    <cfRule type="expression" dxfId="580" priority="78">
      <formula>$J$25&lt;F30</formula>
    </cfRule>
    <cfRule type="expression" dxfId="579" priority="81">
      <formula>OR($K$18="0",OR($K$21="0",$K$21="1"))</formula>
    </cfRule>
    <cfRule type="expression" dxfId="578" priority="80">
      <formula>$K$18="1"</formula>
    </cfRule>
    <cfRule type="expression" dxfId="577" priority="79">
      <formula>AND($K$18="2",OR($K$21="2",$K$21="3"))</formula>
    </cfRule>
  </conditionalFormatting>
  <conditionalFormatting sqref="F39:O39">
    <cfRule type="expression" dxfId="576" priority="315">
      <formula>$J$25&lt;F39</formula>
    </cfRule>
  </conditionalFormatting>
  <conditionalFormatting sqref="F40:O40">
    <cfRule type="expression" dxfId="575" priority="362">
      <formula>$J$25&lt;F39</formula>
    </cfRule>
  </conditionalFormatting>
  <conditionalFormatting sqref="F41:O41">
    <cfRule type="expression" dxfId="574" priority="365">
      <formula>$J$25&lt;F39</formula>
    </cfRule>
  </conditionalFormatting>
  <conditionalFormatting sqref="F44:O44">
    <cfRule type="expression" dxfId="573" priority="314">
      <formula>$J$25&lt;F44</formula>
    </cfRule>
  </conditionalFormatting>
  <conditionalFormatting sqref="F45:O45">
    <cfRule type="expression" dxfId="572" priority="323">
      <formula>OR($K$18="0",OR($K$21="0",$K$21="2"))</formula>
    </cfRule>
    <cfRule type="expression" dxfId="571" priority="322">
      <formula>AND(OR($K$18="2",$K$18="1"),OR($K$21="1",$K$21="3"))</formula>
    </cfRule>
    <cfRule type="expression" dxfId="570" priority="321">
      <formula>$J$25&lt;F44</formula>
    </cfRule>
  </conditionalFormatting>
  <conditionalFormatting sqref="F46:O46">
    <cfRule type="expression" dxfId="569" priority="324">
      <formula>$J$25&lt;F44</formula>
    </cfRule>
    <cfRule type="expression" dxfId="568" priority="325">
      <formula>AND(OR($K$18="2",$K$18="1"),OR($K$21="2",$K$21="3"))</formula>
    </cfRule>
    <cfRule type="expression" dxfId="567" priority="326">
      <formula>OR($K$18="0",OR($K$21="0",$K$21="1"))</formula>
    </cfRule>
  </conditionalFormatting>
  <conditionalFormatting sqref="G36">
    <cfRule type="expression" dxfId="566" priority="76">
      <formula>$K$18="1"</formula>
    </cfRule>
  </conditionalFormatting>
  <conditionalFormatting sqref="G36:O36">
    <cfRule type="expression" dxfId="565" priority="1">
      <formula>"postup!K18=""2"""</formula>
    </cfRule>
    <cfRule type="expression" dxfId="564" priority="5">
      <formula>OR($K$18="0",OR($K$21="0",$K$21="1"))</formula>
    </cfRule>
    <cfRule type="expression" dxfId="563" priority="2">
      <formula>$J$25&lt;G30</formula>
    </cfRule>
  </conditionalFormatting>
  <conditionalFormatting sqref="H35:O35">
    <cfRule type="expression" dxfId="562" priority="9">
      <formula>OR($K$18="0",OR($K$21="0",$K$21="2"))</formula>
    </cfRule>
    <cfRule type="expression" dxfId="561" priority="6">
      <formula>$J$25&lt;H30</formula>
    </cfRule>
  </conditionalFormatting>
  <conditionalFormatting sqref="H35:O36">
    <cfRule type="expression" dxfId="560" priority="4">
      <formula>$K$18="1"</formula>
    </cfRule>
  </conditionalFormatting>
  <conditionalFormatting sqref="I61:I63 K61:L63">
    <cfRule type="expression" dxfId="559" priority="635">
      <formula>$K$21="2"</formula>
    </cfRule>
  </conditionalFormatting>
  <conditionalFormatting sqref="I61:I63">
    <cfRule type="expression" dxfId="558" priority="632">
      <formula>OR($K$21="1",$K$21="3")</formula>
    </cfRule>
  </conditionalFormatting>
  <conditionalFormatting sqref="I67:I69">
    <cfRule type="expression" dxfId="557" priority="623">
      <formula>OR($K$21="1",$K$21="3")</formula>
    </cfRule>
    <cfRule type="expression" dxfId="556" priority="628">
      <formula>$K$21="2"</formula>
    </cfRule>
  </conditionalFormatting>
  <conditionalFormatting sqref="J61:J63">
    <cfRule type="expression" dxfId="555" priority="631">
      <formula>OR($K$21="2",$K$21="3")</formula>
    </cfRule>
  </conditionalFormatting>
  <conditionalFormatting sqref="J67:J69">
    <cfRule type="expression" dxfId="554" priority="625">
      <formula>OR($K$21="2",$K$21="3")</formula>
    </cfRule>
    <cfRule type="expression" dxfId="553" priority="627">
      <formula>$K$21="1"</formula>
    </cfRule>
  </conditionalFormatting>
  <conditionalFormatting sqref="J61:L63">
    <cfRule type="expression" dxfId="552" priority="629">
      <formula>$K$21="1"</formula>
    </cfRule>
  </conditionalFormatting>
  <conditionalFormatting sqref="K24">
    <cfRule type="expression" dxfId="551" priority="614">
      <formula>AND(K18="2",$H$25-$H$24&gt;(10*365.25))</formula>
    </cfRule>
  </conditionalFormatting>
  <conditionalFormatting sqref="K25:K26">
    <cfRule type="expression" dxfId="550" priority="466">
      <formula>AND(K18="1",($H$25-$H$24)&gt;(5*365.25))</formula>
    </cfRule>
  </conditionalFormatting>
  <conditionalFormatting sqref="K27">
    <cfRule type="expression" dxfId="549" priority="4166">
      <formula>AND(K19="1",($H$25-$H$24)&gt;(5*365.25))</formula>
    </cfRule>
  </conditionalFormatting>
  <conditionalFormatting sqref="K61:L63">
    <cfRule type="expression" dxfId="548" priority="621">
      <formula>$K$21="3"</formula>
    </cfRule>
  </conditionalFormatting>
  <conditionalFormatting sqref="K67:L69">
    <cfRule type="expression" dxfId="547" priority="624">
      <formula>$K$21="3"</formula>
    </cfRule>
    <cfRule type="expression" dxfId="546" priority="626">
      <formula>OR($K$21="1",$K$21="2")</formula>
    </cfRule>
  </conditionalFormatting>
  <conditionalFormatting sqref="M64">
    <cfRule type="expression" dxfId="545" priority="311">
      <formula>OR($M$62+$M$63&gt;1,$M$62+$M$63&lt;1)</formula>
    </cfRule>
  </conditionalFormatting>
  <conditionalFormatting sqref="M70">
    <cfRule type="expression" dxfId="544" priority="310">
      <formula>OR($M$68+$M$69&gt;1,$M$68+$M$69&lt;1)</formula>
    </cfRule>
  </conditionalFormatting>
  <conditionalFormatting sqref="M61:O63">
    <cfRule type="expression" dxfId="543" priority="320" stopIfTrue="1">
      <formula>OR($K$18="1",$K$18="0")</formula>
    </cfRule>
  </conditionalFormatting>
  <conditionalFormatting sqref="M62:O63">
    <cfRule type="expression" dxfId="542" priority="317" stopIfTrue="1">
      <formula>$K$18="2"</formula>
    </cfRule>
  </conditionalFormatting>
  <conditionalFormatting sqref="M67:O69">
    <cfRule type="expression" dxfId="541" priority="318" stopIfTrue="1">
      <formula>OR($K$18="0",$K$18="2")</formula>
    </cfRule>
  </conditionalFormatting>
  <conditionalFormatting sqref="M68:O69">
    <cfRule type="expression" dxfId="540" priority="319" stopIfTrue="1">
      <formula>$K$18="1"</formula>
    </cfRule>
  </conditionalFormatting>
  <dataValidations count="1">
    <dataValidation type="date" operator="greaterThan" allowBlank="1" showInputMessage="1" showErrorMessage="1" error="Je třeba zadat datum ve tvaru DD.MM.RRRR." sqref="H24:I27" xr:uid="{00000000-0002-0000-0100-000000000000}">
      <formula1>36526</formula1>
    </dataValidation>
  </dataValidations>
  <pageMargins left="0.7" right="0.7" top="0.78740157499999996" bottom="0.78740157499999996" header="0.3" footer="0.3"/>
  <pageSetup paperSize="9" scale="55" orientation="portrait" horizontalDpi="4294967293" verticalDpi="4294967293"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Výpočty!$B$26:$B$27</xm:f>
          </x14:formula1>
          <xm:sqref>O48:O49 J78</xm:sqref>
        </x14:dataValidation>
        <x14:dataValidation type="list" allowBlank="1" showInputMessage="1" showErrorMessage="1" xr:uid="{00000000-0002-0000-0100-000002000000}">
          <x14:formula1>
            <xm:f>Výpočty!$B$3:$B$5</xm:f>
          </x14:formula1>
          <xm:sqref>C18</xm:sqref>
        </x14:dataValidation>
        <x14:dataValidation type="list" allowBlank="1" showInputMessage="1" showErrorMessage="1" xr:uid="{00000000-0002-0000-0100-000003000000}">
          <x14:formula1>
            <xm:f>Výpočty!$B$8:$B$11</xm:f>
          </x14:formula1>
          <xm:sqref>C21</xm:sqref>
        </x14:dataValidation>
        <x14:dataValidation type="list" allowBlank="1" showInputMessage="1" showErrorMessage="1" xr:uid="{00000000-0002-0000-0100-000004000000}">
          <x14:formula1>
            <xm:f>Výpočty!$B$27:$B$27</xm:f>
          </x14:formula1>
          <xm:sqref>K49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rgb="FFFFC000"/>
  </sheetPr>
  <dimension ref="A1:BP128"/>
  <sheetViews>
    <sheetView tabSelected="1" topLeftCell="A68" zoomScaleNormal="100" workbookViewId="0">
      <selection activeCell="C14" sqref="C14"/>
    </sheetView>
  </sheetViews>
  <sheetFormatPr defaultColWidth="0" defaultRowHeight="15" zeroHeight="1" x14ac:dyDescent="0.25"/>
  <cols>
    <col min="1" max="1" width="1.85546875" customWidth="1"/>
    <col min="2" max="2" width="5" customWidth="1"/>
    <col min="3" max="3" width="39.5703125" customWidth="1"/>
    <col min="4" max="4" width="8.85546875" customWidth="1"/>
    <col min="5" max="5" width="9.140625" customWidth="1"/>
    <col min="6" max="6" width="8.85546875" customWidth="1"/>
    <col min="7" max="7" width="12" customWidth="1"/>
    <col min="8" max="9" width="8.85546875" customWidth="1"/>
    <col min="10" max="11" width="6.85546875" customWidth="1"/>
    <col min="12" max="12" width="9.140625" customWidth="1"/>
    <col min="13" max="24" width="8.85546875" hidden="1" customWidth="1"/>
    <col min="25" max="68" width="0" hidden="1" customWidth="1"/>
    <col min="69" max="16384" width="8.85546875" hidden="1"/>
  </cols>
  <sheetData>
    <row r="1" spans="2:9" x14ac:dyDescent="0.25"/>
    <row r="2" spans="2:9" ht="15" customHeight="1" x14ac:dyDescent="0.25">
      <c r="B2" s="899" t="s">
        <v>315</v>
      </c>
      <c r="C2" s="900"/>
      <c r="D2" s="900"/>
      <c r="E2" s="900"/>
      <c r="F2" s="900"/>
      <c r="G2" s="900"/>
      <c r="H2" s="900"/>
    </row>
    <row r="3" spans="2:9" x14ac:dyDescent="0.25">
      <c r="E3" s="25"/>
    </row>
    <row r="4" spans="2:9" ht="32.1" customHeight="1" x14ac:dyDescent="0.25">
      <c r="C4" s="272" t="s">
        <v>103</v>
      </c>
      <c r="D4" s="273">
        <f>Postup!J24</f>
        <v>2024</v>
      </c>
    </row>
    <row r="5" spans="2:9" x14ac:dyDescent="0.25">
      <c r="B5" s="13" t="s">
        <v>66</v>
      </c>
      <c r="C5" s="244" t="s">
        <v>89</v>
      </c>
      <c r="D5" s="902" t="str">
        <f>IF(AND(ISTEXT('Krycí list'!C14),(Postup!K18="1")),CONCATENATE('Krycí list'!C14,", IČ ",'Krycí list'!C15),IF(AND(ISTEXT('Krycí list'!C24),Postup!K18="2"),CONCATENATE('Krycí list'!C24,", IČ ",'Krycí list'!C25),""))</f>
        <v>PRVOK s.r.o., IČ 281 28 257</v>
      </c>
      <c r="E5" s="903"/>
      <c r="F5" s="903"/>
      <c r="G5" s="903"/>
      <c r="H5" s="904"/>
      <c r="I5" s="29"/>
    </row>
    <row r="6" spans="2:9" x14ac:dyDescent="0.25">
      <c r="B6" s="13" t="s">
        <v>84</v>
      </c>
      <c r="C6" s="13" t="s">
        <v>90</v>
      </c>
      <c r="D6" s="902" t="str">
        <f>IF(ISBLANK('Krycí list'!C24),"",CONCATENATE('Krycí list'!C24,", IČ ",'Krycí list'!C25))</f>
        <v>PRVOK s.r.o., IČ 281 28 257</v>
      </c>
      <c r="E6" s="903"/>
      <c r="F6" s="903"/>
      <c r="G6" s="903"/>
      <c r="H6" s="904"/>
      <c r="I6" s="29"/>
    </row>
    <row r="7" spans="2:9" x14ac:dyDescent="0.25">
      <c r="B7" s="13" t="s">
        <v>85</v>
      </c>
      <c r="C7" s="244" t="s">
        <v>91</v>
      </c>
      <c r="D7" s="902" t="str">
        <f>IF(ISBLANK('Krycí list'!C14),"",CONCATENATE('Krycí list'!C14,", IČ ",'Krycí list'!C15))</f>
        <v>Obec Benešov nad Černou, IČ 00245780</v>
      </c>
      <c r="E7" s="903"/>
      <c r="F7" s="903"/>
      <c r="G7" s="903"/>
      <c r="H7" s="904"/>
      <c r="I7" s="29"/>
    </row>
    <row r="8" spans="2:9" ht="23.1" customHeight="1" x14ac:dyDescent="0.25">
      <c r="B8" s="13" t="s">
        <v>86</v>
      </c>
      <c r="C8" s="36" t="s">
        <v>428</v>
      </c>
      <c r="D8" s="905" t="s">
        <v>51</v>
      </c>
      <c r="E8" s="906"/>
      <c r="F8" s="906"/>
      <c r="G8" s="906"/>
      <c r="H8" s="907"/>
    </row>
    <row r="9" spans="2:9" ht="15" customHeight="1" x14ac:dyDescent="0.25">
      <c r="B9" s="13" t="s">
        <v>87</v>
      </c>
      <c r="C9" s="13" t="s">
        <v>429</v>
      </c>
      <c r="D9" s="905">
        <v>1</v>
      </c>
      <c r="E9" s="906"/>
      <c r="F9" s="906"/>
      <c r="G9" s="906"/>
      <c r="H9" s="907"/>
    </row>
    <row r="10" spans="2:9" ht="15" customHeight="1" x14ac:dyDescent="0.25">
      <c r="B10" s="13" t="s">
        <v>88</v>
      </c>
      <c r="C10" s="13" t="s">
        <v>94</v>
      </c>
      <c r="D10" s="905"/>
      <c r="E10" s="906"/>
      <c r="F10" s="906"/>
      <c r="G10" s="906"/>
      <c r="H10" s="907"/>
    </row>
    <row r="11" spans="2:9" ht="24.95" customHeight="1" x14ac:dyDescent="0.25"/>
    <row r="12" spans="2:9" ht="14.45" customHeight="1" x14ac:dyDescent="0.25">
      <c r="B12" s="2"/>
      <c r="C12" s="884" t="s">
        <v>0</v>
      </c>
      <c r="D12" s="868"/>
      <c r="E12" s="868"/>
      <c r="F12" s="868"/>
      <c r="G12" s="868"/>
      <c r="H12" s="869"/>
    </row>
    <row r="13" spans="2:9" ht="15" customHeight="1" x14ac:dyDescent="0.25">
      <c r="B13" s="4"/>
      <c r="C13" s="5" t="s">
        <v>1</v>
      </c>
      <c r="D13" s="6" t="s">
        <v>2</v>
      </c>
      <c r="E13" s="884" t="s">
        <v>3</v>
      </c>
      <c r="F13" s="868"/>
      <c r="G13" s="884" t="s">
        <v>4</v>
      </c>
      <c r="H13" s="869"/>
    </row>
    <row r="14" spans="2:9" ht="26.45" customHeight="1" x14ac:dyDescent="0.25">
      <c r="B14" s="16" t="s">
        <v>5</v>
      </c>
      <c r="C14" s="18"/>
      <c r="D14" s="7" t="s">
        <v>6</v>
      </c>
      <c r="E14" s="239">
        <f>D4-1</f>
        <v>2023</v>
      </c>
      <c r="F14" s="28">
        <f>D4</f>
        <v>2024</v>
      </c>
      <c r="G14" s="239">
        <f>D4-1</f>
        <v>2023</v>
      </c>
      <c r="H14" s="28">
        <f>D4</f>
        <v>2024</v>
      </c>
    </row>
    <row r="15" spans="2:9" x14ac:dyDescent="0.25">
      <c r="B15" s="17"/>
      <c r="C15" s="20"/>
      <c r="D15" s="7"/>
      <c r="E15" s="240" t="s">
        <v>98</v>
      </c>
      <c r="F15" s="7" t="s">
        <v>98</v>
      </c>
      <c r="G15" s="240" t="s">
        <v>98</v>
      </c>
      <c r="H15" s="19" t="s">
        <v>98</v>
      </c>
    </row>
    <row r="16" spans="2:9" ht="15" customHeight="1" x14ac:dyDescent="0.25">
      <c r="B16" s="11">
        <v>1</v>
      </c>
      <c r="C16" s="11">
        <v>2</v>
      </c>
      <c r="D16" s="11" t="s">
        <v>95</v>
      </c>
      <c r="E16" s="11"/>
      <c r="F16" s="11">
        <v>4</v>
      </c>
      <c r="G16" s="11"/>
      <c r="H16" s="22">
        <v>7</v>
      </c>
    </row>
    <row r="17" spans="2:11" ht="15" customHeight="1" x14ac:dyDescent="0.25">
      <c r="B17" s="9" t="s">
        <v>8</v>
      </c>
      <c r="C17" s="10" t="s">
        <v>9</v>
      </c>
      <c r="D17" s="11" t="s">
        <v>109</v>
      </c>
      <c r="E17" s="115">
        <f>SUM(E18:E21)</f>
        <v>0</v>
      </c>
      <c r="F17" s="115">
        <f>SUM(F18:F21)</f>
        <v>0.11999999933</v>
      </c>
      <c r="G17" s="115">
        <f>SUM(G18:G21)</f>
        <v>0</v>
      </c>
      <c r="H17" s="116">
        <f>SUM(H18:H21)</f>
        <v>5.9999971999999999E-2</v>
      </c>
    </row>
    <row r="18" spans="2:11" ht="14.45" customHeight="1" x14ac:dyDescent="0.25">
      <c r="B18" s="12" t="s">
        <v>11</v>
      </c>
      <c r="C18" s="13" t="s">
        <v>12</v>
      </c>
      <c r="D18" s="3" t="s">
        <v>109</v>
      </c>
      <c r="E18" s="467">
        <v>0</v>
      </c>
      <c r="F18" s="468">
        <v>0.08</v>
      </c>
      <c r="G18" s="467">
        <v>0</v>
      </c>
      <c r="H18" s="474">
        <v>0</v>
      </c>
      <c r="I18" s="901" t="s">
        <v>248</v>
      </c>
      <c r="J18" s="901"/>
      <c r="K18" s="901"/>
    </row>
    <row r="19" spans="2:11" ht="15.75" thickBot="1" x14ac:dyDescent="0.3">
      <c r="B19" s="12" t="s">
        <v>13</v>
      </c>
      <c r="C19" s="12" t="s">
        <v>14</v>
      </c>
      <c r="D19" s="3" t="s">
        <v>109</v>
      </c>
      <c r="E19" s="469">
        <v>0</v>
      </c>
      <c r="F19" s="470">
        <v>0</v>
      </c>
      <c r="G19" s="469">
        <v>0</v>
      </c>
      <c r="H19" s="471">
        <v>0</v>
      </c>
      <c r="I19" s="79" t="s">
        <v>134</v>
      </c>
      <c r="J19" s="79" t="s">
        <v>110</v>
      </c>
      <c r="K19" s="79" t="s">
        <v>111</v>
      </c>
    </row>
    <row r="20" spans="2:11" ht="26.1" customHeight="1" thickBot="1" x14ac:dyDescent="0.3">
      <c r="B20" s="12" t="s">
        <v>15</v>
      </c>
      <c r="C20" s="13" t="s">
        <v>16</v>
      </c>
      <c r="D20" s="3" t="s">
        <v>109</v>
      </c>
      <c r="E20" s="487">
        <v>0</v>
      </c>
      <c r="F20" s="118">
        <f>IF(G84=0,0,J20*G84/1000)</f>
        <v>6.6666659999999999E-3</v>
      </c>
      <c r="G20" s="479">
        <v>0</v>
      </c>
      <c r="H20" s="118">
        <f>IF(H84=0,0,K20*H84/1000)</f>
        <v>4.9999971999999997E-2</v>
      </c>
      <c r="I20" s="80" t="s">
        <v>232</v>
      </c>
      <c r="J20" s="472">
        <v>200</v>
      </c>
      <c r="K20" s="473">
        <v>1136.3630000000001</v>
      </c>
    </row>
    <row r="21" spans="2:11" ht="15" customHeight="1" thickBot="1" x14ac:dyDescent="0.3">
      <c r="B21" s="12" t="s">
        <v>17</v>
      </c>
      <c r="C21" s="13" t="s">
        <v>18</v>
      </c>
      <c r="D21" s="3" t="s">
        <v>109</v>
      </c>
      <c r="E21" s="477">
        <v>0</v>
      </c>
      <c r="F21" s="478">
        <v>3.3333333329999999E-2</v>
      </c>
      <c r="G21" s="479">
        <v>0</v>
      </c>
      <c r="H21" s="480">
        <v>0.01</v>
      </c>
      <c r="I21" s="80" t="s">
        <v>232</v>
      </c>
      <c r="J21" s="472">
        <v>0</v>
      </c>
      <c r="K21" s="473">
        <v>0</v>
      </c>
    </row>
    <row r="22" spans="2:11" ht="15.75" thickBot="1" x14ac:dyDescent="0.3">
      <c r="B22" s="9" t="s">
        <v>19</v>
      </c>
      <c r="C22" s="10" t="s">
        <v>20</v>
      </c>
      <c r="D22" s="11" t="s">
        <v>109</v>
      </c>
      <c r="E22" s="245">
        <f>SUM(E23:E24)</f>
        <v>0</v>
      </c>
      <c r="F22" s="245">
        <f>SUM(F23:F24)</f>
        <v>3.6666663000000002E-2</v>
      </c>
      <c r="G22" s="245">
        <f>SUM(G23:G24)</f>
        <v>0</v>
      </c>
      <c r="H22" s="246">
        <f>SUM(H23:H24)</f>
        <v>0.39999999599999997</v>
      </c>
      <c r="I22" s="247" t="s">
        <v>199</v>
      </c>
      <c r="J22" s="390" t="s">
        <v>199</v>
      </c>
      <c r="K22" s="390" t="s">
        <v>199</v>
      </c>
    </row>
    <row r="23" spans="2:11" ht="15.75" thickBot="1" x14ac:dyDescent="0.3">
      <c r="B23" s="12" t="s">
        <v>21</v>
      </c>
      <c r="C23" s="12" t="s">
        <v>22</v>
      </c>
      <c r="D23" s="3" t="s">
        <v>109</v>
      </c>
      <c r="E23" s="477">
        <v>0</v>
      </c>
      <c r="F23" s="117">
        <f>IF(G84=0,0,J23*G84/1000)</f>
        <v>3.6666663000000002E-2</v>
      </c>
      <c r="G23" s="479">
        <v>0</v>
      </c>
      <c r="H23" s="118">
        <f>IF(H84=0,0,K23*H84/1000)</f>
        <v>0.39999999599999997</v>
      </c>
      <c r="I23" s="80" t="s">
        <v>232</v>
      </c>
      <c r="J23" s="472">
        <v>1100</v>
      </c>
      <c r="K23" s="473">
        <v>9090.9089999999997</v>
      </c>
    </row>
    <row r="24" spans="2:11" ht="18" customHeight="1" thickBot="1" x14ac:dyDescent="0.3">
      <c r="B24" s="12" t="s">
        <v>23</v>
      </c>
      <c r="C24" s="12" t="s">
        <v>24</v>
      </c>
      <c r="D24" s="3" t="s">
        <v>109</v>
      </c>
      <c r="E24" s="477">
        <v>0</v>
      </c>
      <c r="F24" s="478">
        <v>0</v>
      </c>
      <c r="G24" s="479">
        <v>0</v>
      </c>
      <c r="H24" s="480">
        <v>0</v>
      </c>
      <c r="I24" s="80" t="s">
        <v>232</v>
      </c>
      <c r="J24" s="472">
        <v>0</v>
      </c>
      <c r="K24" s="473">
        <v>0</v>
      </c>
    </row>
    <row r="25" spans="2:11" ht="15" customHeight="1" thickBot="1" x14ac:dyDescent="0.3">
      <c r="B25" s="9" t="s">
        <v>25</v>
      </c>
      <c r="C25" s="10" t="s">
        <v>400</v>
      </c>
      <c r="D25" s="11" t="s">
        <v>109</v>
      </c>
      <c r="E25" s="245">
        <f>SUM(E26:E27)</f>
        <v>0</v>
      </c>
      <c r="F25" s="245">
        <f>SUM(F26:F27)</f>
        <v>6.6666599999999996E-3</v>
      </c>
      <c r="G25" s="245">
        <f>SUM(G26:G27)</f>
        <v>0</v>
      </c>
      <c r="H25" s="246">
        <f>SUM(H26:H27)</f>
        <v>0.25</v>
      </c>
      <c r="I25" s="247" t="s">
        <v>199</v>
      </c>
      <c r="J25" s="390" t="s">
        <v>199</v>
      </c>
      <c r="K25" s="390" t="s">
        <v>199</v>
      </c>
    </row>
    <row r="26" spans="2:11" ht="15.75" thickBot="1" x14ac:dyDescent="0.3">
      <c r="B26" s="12" t="s">
        <v>26</v>
      </c>
      <c r="C26" s="12" t="s">
        <v>390</v>
      </c>
      <c r="D26" s="3" t="s">
        <v>109</v>
      </c>
      <c r="E26" s="477">
        <v>0</v>
      </c>
      <c r="F26" s="478">
        <v>6.6666599999999996E-3</v>
      </c>
      <c r="G26" s="479">
        <v>0</v>
      </c>
      <c r="H26" s="480">
        <v>0.2</v>
      </c>
      <c r="I26" s="80" t="s">
        <v>232</v>
      </c>
      <c r="J26" s="472">
        <v>0</v>
      </c>
      <c r="K26" s="473">
        <v>0</v>
      </c>
    </row>
    <row r="27" spans="2:11" ht="15" customHeight="1" thickBot="1" x14ac:dyDescent="0.3">
      <c r="B27" s="12" t="s">
        <v>27</v>
      </c>
      <c r="C27" s="12" t="s">
        <v>401</v>
      </c>
      <c r="D27" s="3" t="s">
        <v>109</v>
      </c>
      <c r="E27" s="477">
        <v>0</v>
      </c>
      <c r="F27" s="478">
        <v>0</v>
      </c>
      <c r="G27" s="479">
        <v>0</v>
      </c>
      <c r="H27" s="480">
        <v>0.05</v>
      </c>
      <c r="I27" s="80" t="s">
        <v>232</v>
      </c>
      <c r="J27" s="472">
        <v>0</v>
      </c>
      <c r="K27" s="473">
        <v>0</v>
      </c>
    </row>
    <row r="28" spans="2:11" x14ac:dyDescent="0.25">
      <c r="B28" s="9" t="s">
        <v>28</v>
      </c>
      <c r="C28" s="10" t="s">
        <v>29</v>
      </c>
      <c r="D28" s="11" t="s">
        <v>109</v>
      </c>
      <c r="E28" s="248">
        <f>SUM(E29:E32)</f>
        <v>0</v>
      </c>
      <c r="F28" s="248">
        <f>SUM(F29:F32)</f>
        <v>0.33400000000000002</v>
      </c>
      <c r="G28" s="248">
        <f>SUM(G29:G32)</f>
        <v>0</v>
      </c>
      <c r="H28" s="249">
        <f>SUM(H29:H32)</f>
        <v>0.90900000000000003</v>
      </c>
      <c r="I28" s="247" t="s">
        <v>199</v>
      </c>
      <c r="J28" s="390" t="s">
        <v>199</v>
      </c>
      <c r="K28" s="390" t="s">
        <v>199</v>
      </c>
    </row>
    <row r="29" spans="2:11" x14ac:dyDescent="0.25">
      <c r="B29" s="12" t="s">
        <v>30</v>
      </c>
      <c r="C29" s="12" t="s">
        <v>381</v>
      </c>
      <c r="D29" s="3" t="s">
        <v>109</v>
      </c>
      <c r="E29" s="469">
        <v>0</v>
      </c>
      <c r="F29" s="484">
        <v>0</v>
      </c>
      <c r="G29" s="469">
        <v>0</v>
      </c>
      <c r="H29" s="485">
        <v>0</v>
      </c>
      <c r="I29" s="79" t="s">
        <v>199</v>
      </c>
      <c r="J29" s="391" t="s">
        <v>199</v>
      </c>
      <c r="K29" s="391" t="s">
        <v>199</v>
      </c>
    </row>
    <row r="30" spans="2:11" x14ac:dyDescent="0.25">
      <c r="B30" s="12" t="s">
        <v>32</v>
      </c>
      <c r="C30" s="12" t="s">
        <v>383</v>
      </c>
      <c r="D30" s="3" t="s">
        <v>109</v>
      </c>
      <c r="E30" s="486">
        <v>0</v>
      </c>
      <c r="F30" s="697">
        <f>Postup!E40</f>
        <v>0</v>
      </c>
      <c r="G30" s="486">
        <v>0</v>
      </c>
      <c r="H30" s="697">
        <f>Postup!E41</f>
        <v>0</v>
      </c>
      <c r="I30" s="211" t="s">
        <v>199</v>
      </c>
      <c r="J30" s="392" t="s">
        <v>199</v>
      </c>
      <c r="K30" s="392" t="s">
        <v>199</v>
      </c>
    </row>
    <row r="31" spans="2:11" x14ac:dyDescent="0.25">
      <c r="B31" s="12" t="s">
        <v>33</v>
      </c>
      <c r="C31" s="12" t="s">
        <v>382</v>
      </c>
      <c r="D31" s="3" t="s">
        <v>109</v>
      </c>
      <c r="E31" s="481">
        <v>0</v>
      </c>
      <c r="F31" s="571">
        <v>0.02</v>
      </c>
      <c r="G31" s="481">
        <v>0</v>
      </c>
      <c r="H31" s="577">
        <v>2.5000000000000001E-2</v>
      </c>
      <c r="I31" s="250" t="s">
        <v>199</v>
      </c>
      <c r="J31" s="393" t="s">
        <v>199</v>
      </c>
      <c r="K31" s="393" t="s">
        <v>199</v>
      </c>
    </row>
    <row r="32" spans="2:11" x14ac:dyDescent="0.25">
      <c r="B32" s="12" t="s">
        <v>34</v>
      </c>
      <c r="C32" s="497" t="s">
        <v>384</v>
      </c>
      <c r="D32" s="3" t="s">
        <v>109</v>
      </c>
      <c r="E32" s="467">
        <v>0</v>
      </c>
      <c r="F32" s="726">
        <f>Postup!E35</f>
        <v>0.314</v>
      </c>
      <c r="G32" s="467">
        <v>0</v>
      </c>
      <c r="H32" s="727">
        <f>Postup!E36</f>
        <v>0.88400000000000001</v>
      </c>
      <c r="I32" s="211" t="s">
        <v>199</v>
      </c>
      <c r="J32" s="392" t="s">
        <v>199</v>
      </c>
      <c r="K32" s="392" t="s">
        <v>199</v>
      </c>
    </row>
    <row r="33" spans="2:12" x14ac:dyDescent="0.25">
      <c r="B33" s="9" t="s">
        <v>35</v>
      </c>
      <c r="C33" s="10" t="s">
        <v>387</v>
      </c>
      <c r="D33" s="11" t="s">
        <v>109</v>
      </c>
      <c r="E33" s="115">
        <f>SUM(E34:E36)</f>
        <v>0</v>
      </c>
      <c r="F33" s="115">
        <f>SUM(F34:F36)</f>
        <v>0.17666660000000001</v>
      </c>
      <c r="G33" s="115">
        <f>SUM(G34:G36)</f>
        <v>0</v>
      </c>
      <c r="H33" s="116">
        <f>SUM(H34:H36)</f>
        <v>0.33500000000000002</v>
      </c>
      <c r="I33" s="211" t="s">
        <v>199</v>
      </c>
      <c r="J33" s="392" t="s">
        <v>199</v>
      </c>
      <c r="K33" s="392" t="s">
        <v>199</v>
      </c>
    </row>
    <row r="34" spans="2:12" ht="15.75" thickBot="1" x14ac:dyDescent="0.3">
      <c r="B34" s="12" t="s">
        <v>37</v>
      </c>
      <c r="C34" s="13" t="s">
        <v>38</v>
      </c>
      <c r="D34" s="3" t="s">
        <v>109</v>
      </c>
      <c r="E34" s="469">
        <v>0</v>
      </c>
      <c r="F34" s="251">
        <v>0</v>
      </c>
      <c r="G34" s="469">
        <v>0</v>
      </c>
      <c r="H34" s="471">
        <v>0.01</v>
      </c>
      <c r="I34" s="79" t="s">
        <v>199</v>
      </c>
      <c r="J34" s="391" t="s">
        <v>199</v>
      </c>
      <c r="K34" s="391" t="s">
        <v>199</v>
      </c>
    </row>
    <row r="35" spans="2:12" ht="15.75" thickBot="1" x14ac:dyDescent="0.3">
      <c r="B35" s="12" t="s">
        <v>39</v>
      </c>
      <c r="C35" s="12" t="s">
        <v>40</v>
      </c>
      <c r="D35" s="3" t="s">
        <v>109</v>
      </c>
      <c r="E35" s="477">
        <v>0</v>
      </c>
      <c r="F35" s="478">
        <v>5.6666599999999998E-2</v>
      </c>
      <c r="G35" s="479">
        <v>0</v>
      </c>
      <c r="H35" s="480">
        <v>0.22500000000000001</v>
      </c>
      <c r="I35" s="80" t="s">
        <v>232</v>
      </c>
      <c r="J35" s="472">
        <v>0</v>
      </c>
      <c r="K35" s="473">
        <v>0</v>
      </c>
    </row>
    <row r="36" spans="2:12" ht="15.75" thickBot="1" x14ac:dyDescent="0.3">
      <c r="B36" s="12" t="s">
        <v>41</v>
      </c>
      <c r="C36" s="13" t="s">
        <v>42</v>
      </c>
      <c r="D36" s="3" t="s">
        <v>109</v>
      </c>
      <c r="E36" s="477">
        <v>0</v>
      </c>
      <c r="F36" s="478">
        <v>0.12</v>
      </c>
      <c r="G36" s="479">
        <v>0</v>
      </c>
      <c r="H36" s="480">
        <v>0.1</v>
      </c>
      <c r="I36" s="80" t="s">
        <v>232</v>
      </c>
      <c r="J36" s="472">
        <v>0</v>
      </c>
      <c r="K36" s="473">
        <v>0</v>
      </c>
    </row>
    <row r="37" spans="2:12" x14ac:dyDescent="0.25">
      <c r="B37" s="9" t="s">
        <v>43</v>
      </c>
      <c r="C37" s="10" t="s">
        <v>44</v>
      </c>
      <c r="D37" s="11" t="s">
        <v>109</v>
      </c>
      <c r="E37" s="481">
        <v>0</v>
      </c>
      <c r="F37" s="482">
        <v>0</v>
      </c>
      <c r="G37" s="481">
        <v>0</v>
      </c>
      <c r="H37" s="483">
        <v>0</v>
      </c>
      <c r="I37" s="250" t="s">
        <v>199</v>
      </c>
      <c r="J37" s="393" t="s">
        <v>199</v>
      </c>
      <c r="K37" s="393" t="s">
        <v>199</v>
      </c>
    </row>
    <row r="38" spans="2:12" ht="15.75" thickBot="1" x14ac:dyDescent="0.3">
      <c r="B38" s="9" t="s">
        <v>45</v>
      </c>
      <c r="C38" s="10" t="s">
        <v>388</v>
      </c>
      <c r="D38" s="11" t="s">
        <v>109</v>
      </c>
      <c r="E38" s="469">
        <v>0</v>
      </c>
      <c r="F38" s="484">
        <v>0</v>
      </c>
      <c r="G38" s="469">
        <v>0</v>
      </c>
      <c r="H38" s="485">
        <v>0</v>
      </c>
      <c r="I38" s="79" t="s">
        <v>199</v>
      </c>
      <c r="J38" s="391" t="s">
        <v>199</v>
      </c>
      <c r="K38" s="391" t="s">
        <v>199</v>
      </c>
      <c r="L38" s="213"/>
    </row>
    <row r="39" spans="2:12" ht="15.75" thickBot="1" x14ac:dyDescent="0.3">
      <c r="B39" s="9" t="s">
        <v>46</v>
      </c>
      <c r="C39" s="10" t="s">
        <v>47</v>
      </c>
      <c r="D39" s="11" t="s">
        <v>109</v>
      </c>
      <c r="E39" s="477">
        <v>0</v>
      </c>
      <c r="F39" s="478">
        <v>6.7000000000000004E-2</v>
      </c>
      <c r="G39" s="479">
        <v>0</v>
      </c>
      <c r="H39" s="480">
        <v>0.06</v>
      </c>
      <c r="I39" s="80" t="s">
        <v>232</v>
      </c>
      <c r="J39" s="472">
        <v>0</v>
      </c>
      <c r="K39" s="473">
        <v>0</v>
      </c>
      <c r="L39" s="29"/>
    </row>
    <row r="40" spans="2:12" ht="15.75" thickBot="1" x14ac:dyDescent="0.3">
      <c r="B40" s="435" t="s">
        <v>48</v>
      </c>
      <c r="C40" s="537" t="s">
        <v>49</v>
      </c>
      <c r="D40" s="538" t="s">
        <v>109</v>
      </c>
      <c r="E40" s="477">
        <v>0</v>
      </c>
      <c r="F40" s="478">
        <v>5.3999999999999999E-2</v>
      </c>
      <c r="G40" s="479">
        <v>0</v>
      </c>
      <c r="H40" s="480">
        <v>0.05</v>
      </c>
      <c r="I40" s="80" t="s">
        <v>232</v>
      </c>
      <c r="J40" s="472">
        <v>0</v>
      </c>
      <c r="K40" s="473">
        <v>0</v>
      </c>
    </row>
    <row r="41" spans="2:12" x14ac:dyDescent="0.25">
      <c r="B41" s="210" t="s">
        <v>386</v>
      </c>
      <c r="C41" s="210" t="s">
        <v>385</v>
      </c>
      <c r="D41" s="19" t="s">
        <v>109</v>
      </c>
      <c r="E41" s="570">
        <v>0</v>
      </c>
      <c r="F41" s="483">
        <v>0.02</v>
      </c>
      <c r="G41" s="570">
        <v>0</v>
      </c>
      <c r="H41" s="483">
        <v>0.02</v>
      </c>
    </row>
    <row r="42" spans="2:12" x14ac:dyDescent="0.25">
      <c r="B42" s="539" t="s">
        <v>50</v>
      </c>
      <c r="C42" s="540" t="s">
        <v>391</v>
      </c>
      <c r="D42" s="541" t="s">
        <v>109</v>
      </c>
      <c r="E42" s="248">
        <f>SUM(E37:E40)+E33+E28+E25+E22+E17</f>
        <v>0</v>
      </c>
      <c r="F42" s="248">
        <f>SUM(F37:F40)+F33+F28+F25+F22+F17</f>
        <v>0.79499992232999994</v>
      </c>
      <c r="G42" s="248">
        <f>SUM(G37:G40)+G33+G28+G25+G22+G17</f>
        <v>0</v>
      </c>
      <c r="H42" s="249">
        <f>SUM(H37:H40)+H33+H28+H25+H22+H17</f>
        <v>2.0639999680000001</v>
      </c>
      <c r="I42" s="29"/>
      <c r="J42" s="29"/>
      <c r="K42" s="29"/>
    </row>
    <row r="43" spans="2:12" x14ac:dyDescent="0.25">
      <c r="B43" s="210" t="s">
        <v>51</v>
      </c>
      <c r="C43" s="244" t="s">
        <v>54</v>
      </c>
      <c r="D43" s="19" t="s">
        <v>55</v>
      </c>
      <c r="E43" s="467">
        <v>0</v>
      </c>
      <c r="F43" s="580">
        <v>0.5</v>
      </c>
      <c r="G43" s="578">
        <v>0</v>
      </c>
      <c r="H43" s="692">
        <v>0.5</v>
      </c>
    </row>
    <row r="44" spans="2:12" x14ac:dyDescent="0.25">
      <c r="B44" s="12" t="s">
        <v>52</v>
      </c>
      <c r="C44" s="13" t="s">
        <v>57</v>
      </c>
      <c r="D44" s="3" t="s">
        <v>203</v>
      </c>
      <c r="E44" s="467">
        <v>0</v>
      </c>
      <c r="F44" s="476">
        <v>3.3333330000000001E-2</v>
      </c>
      <c r="G44" s="578">
        <v>0</v>
      </c>
      <c r="H44" s="121">
        <v>0</v>
      </c>
    </row>
    <row r="45" spans="2:12" x14ac:dyDescent="0.25">
      <c r="B45" s="12" t="s">
        <v>53</v>
      </c>
      <c r="C45" s="13" t="s">
        <v>60</v>
      </c>
      <c r="D45" s="3" t="s">
        <v>203</v>
      </c>
      <c r="E45" s="467">
        <v>0</v>
      </c>
      <c r="F45" s="476">
        <v>2.9333330000000001E-2</v>
      </c>
      <c r="G45" s="578">
        <v>0</v>
      </c>
      <c r="H45" s="121">
        <v>0</v>
      </c>
    </row>
    <row r="46" spans="2:12" x14ac:dyDescent="0.25">
      <c r="B46" s="12" t="s">
        <v>56</v>
      </c>
      <c r="C46" s="13" t="s">
        <v>62</v>
      </c>
      <c r="D46" s="3" t="s">
        <v>203</v>
      </c>
      <c r="E46" s="119">
        <v>0</v>
      </c>
      <c r="F46" s="120">
        <v>0</v>
      </c>
      <c r="G46" s="579">
        <v>0</v>
      </c>
      <c r="H46" s="475">
        <v>3.5999999999999997E-2</v>
      </c>
    </row>
    <row r="47" spans="2:12" x14ac:dyDescent="0.25">
      <c r="B47" s="12" t="s">
        <v>59</v>
      </c>
      <c r="C47" s="13" t="s">
        <v>60</v>
      </c>
      <c r="D47" s="3" t="s">
        <v>203</v>
      </c>
      <c r="E47" s="119">
        <v>0</v>
      </c>
      <c r="F47" s="120">
        <v>0</v>
      </c>
      <c r="G47" s="467">
        <v>0</v>
      </c>
      <c r="H47" s="475">
        <v>2.5999999999999999E-2</v>
      </c>
      <c r="J47" s="29"/>
      <c r="K47" s="29"/>
      <c r="L47" s="29"/>
    </row>
    <row r="48" spans="2:12" x14ac:dyDescent="0.25">
      <c r="B48" s="12" t="s">
        <v>61</v>
      </c>
      <c r="C48" s="13" t="s">
        <v>65</v>
      </c>
      <c r="D48" s="3" t="s">
        <v>203</v>
      </c>
      <c r="E48" s="119">
        <v>0</v>
      </c>
      <c r="F48" s="120">
        <v>0</v>
      </c>
      <c r="G48" s="467">
        <v>0</v>
      </c>
      <c r="H48" s="475">
        <v>8.0000000000000002E-3</v>
      </c>
    </row>
    <row r="49" spans="2:8" x14ac:dyDescent="0.25">
      <c r="B49" s="12" t="s">
        <v>63</v>
      </c>
      <c r="C49" s="13" t="s">
        <v>67</v>
      </c>
      <c r="D49" s="3" t="s">
        <v>203</v>
      </c>
      <c r="E49" s="119">
        <v>0</v>
      </c>
      <c r="F49" s="120">
        <v>0</v>
      </c>
      <c r="G49" s="467">
        <v>0</v>
      </c>
      <c r="H49" s="475">
        <v>0.1</v>
      </c>
    </row>
    <row r="50" spans="2:8" x14ac:dyDescent="0.25">
      <c r="B50" s="12" t="s">
        <v>64</v>
      </c>
      <c r="C50" s="13" t="s">
        <v>68</v>
      </c>
      <c r="D50" s="3" t="s">
        <v>203</v>
      </c>
      <c r="E50" s="467">
        <v>0</v>
      </c>
      <c r="F50" s="476">
        <v>0</v>
      </c>
      <c r="G50" s="467">
        <v>0</v>
      </c>
      <c r="H50" s="475">
        <v>0</v>
      </c>
    </row>
    <row r="51" spans="2:8" x14ac:dyDescent="0.25">
      <c r="B51" s="12" t="s">
        <v>66</v>
      </c>
      <c r="C51" s="13" t="s">
        <v>69</v>
      </c>
      <c r="D51" s="3" t="s">
        <v>203</v>
      </c>
      <c r="E51" s="467">
        <v>0</v>
      </c>
      <c r="F51" s="476">
        <v>0</v>
      </c>
      <c r="G51" s="467">
        <v>0</v>
      </c>
      <c r="H51" s="475">
        <v>0</v>
      </c>
    </row>
    <row r="52" spans="2:8" x14ac:dyDescent="0.25"/>
    <row r="53" spans="2:8" ht="15.75" thickBot="1" x14ac:dyDescent="0.3"/>
    <row r="54" spans="2:8" ht="23.45" customHeight="1" x14ac:dyDescent="0.25">
      <c r="B54" s="887" t="s">
        <v>348</v>
      </c>
      <c r="C54" s="888"/>
      <c r="D54" s="888"/>
      <c r="E54" s="888"/>
      <c r="F54" s="889"/>
    </row>
    <row r="55" spans="2:8" ht="23.45" customHeight="1" x14ac:dyDescent="0.25">
      <c r="B55" s="893" t="s">
        <v>5</v>
      </c>
      <c r="C55" s="892" t="s">
        <v>415</v>
      </c>
      <c r="D55" s="892" t="s">
        <v>363</v>
      </c>
      <c r="E55" s="890" t="str">
        <f>CONCATENATE("Pro rok ",D4)</f>
        <v>Pro rok 2024</v>
      </c>
      <c r="F55" s="891"/>
    </row>
    <row r="56" spans="2:8" x14ac:dyDescent="0.25">
      <c r="B56" s="893"/>
      <c r="C56" s="892"/>
      <c r="D56" s="892"/>
      <c r="E56" s="339" t="s">
        <v>3</v>
      </c>
      <c r="F56" s="566" t="s">
        <v>4</v>
      </c>
    </row>
    <row r="57" spans="2:8" ht="27" hidden="1" customHeight="1" x14ac:dyDescent="0.25">
      <c r="B57" s="896" t="s">
        <v>416</v>
      </c>
      <c r="C57" s="897"/>
      <c r="D57" s="897"/>
      <c r="E57" s="897"/>
      <c r="F57" s="898"/>
    </row>
    <row r="58" spans="2:8" ht="23.1" customHeight="1" x14ac:dyDescent="0.25">
      <c r="B58" s="557" t="s">
        <v>8</v>
      </c>
      <c r="C58" s="546" t="s">
        <v>441</v>
      </c>
      <c r="D58" s="502" t="s">
        <v>109</v>
      </c>
      <c r="E58" s="693">
        <v>37.329000000000001</v>
      </c>
      <c r="F58" s="694">
        <v>70</v>
      </c>
    </row>
    <row r="59" spans="2:8" x14ac:dyDescent="0.25">
      <c r="B59" s="557" t="s">
        <v>11</v>
      </c>
      <c r="C59" s="546" t="s">
        <v>417</v>
      </c>
      <c r="D59" s="502" t="s">
        <v>418</v>
      </c>
      <c r="E59" s="502">
        <v>4.8999999999999998E-3</v>
      </c>
      <c r="F59" s="561">
        <v>4.8999999999999998E-3</v>
      </c>
    </row>
    <row r="60" spans="2:8" x14ac:dyDescent="0.25">
      <c r="B60" s="557" t="s">
        <v>13</v>
      </c>
      <c r="C60" s="546" t="s">
        <v>422</v>
      </c>
      <c r="D60" s="502" t="s">
        <v>109</v>
      </c>
      <c r="E60" s="581">
        <f>E58*E59</f>
        <v>0.18291209999999999</v>
      </c>
      <c r="F60" s="134">
        <f>F58*F59</f>
        <v>0.34299999999999997</v>
      </c>
    </row>
    <row r="61" spans="2:8" ht="27" hidden="1" customHeight="1" x14ac:dyDescent="0.25">
      <c r="B61" s="894" t="s">
        <v>419</v>
      </c>
      <c r="C61" s="895"/>
      <c r="D61" s="555"/>
      <c r="E61" s="582"/>
      <c r="F61" s="609"/>
    </row>
    <row r="62" spans="2:8" hidden="1" x14ac:dyDescent="0.25">
      <c r="B62" s="558" t="s">
        <v>25</v>
      </c>
      <c r="C62" s="548" t="s">
        <v>420</v>
      </c>
      <c r="D62" s="547" t="s">
        <v>109</v>
      </c>
      <c r="E62" s="583">
        <v>0</v>
      </c>
      <c r="F62" s="611">
        <v>0</v>
      </c>
    </row>
    <row r="63" spans="2:8" hidden="1" x14ac:dyDescent="0.25">
      <c r="B63" s="558" t="s">
        <v>28</v>
      </c>
      <c r="C63" s="548" t="s">
        <v>421</v>
      </c>
      <c r="D63" s="547" t="s">
        <v>109</v>
      </c>
      <c r="E63" s="583">
        <v>0</v>
      </c>
      <c r="F63" s="611">
        <v>0</v>
      </c>
    </row>
    <row r="64" spans="2:8" hidden="1" x14ac:dyDescent="0.25">
      <c r="B64" s="558" t="s">
        <v>424</v>
      </c>
      <c r="C64" s="548"/>
      <c r="D64" s="547" t="s">
        <v>109</v>
      </c>
      <c r="E64" s="583">
        <v>0</v>
      </c>
      <c r="F64" s="611">
        <v>0</v>
      </c>
    </row>
    <row r="65" spans="2:9" hidden="1" x14ac:dyDescent="0.25">
      <c r="B65" s="885" t="s">
        <v>453</v>
      </c>
      <c r="C65" s="886"/>
      <c r="F65" s="724"/>
    </row>
    <row r="66" spans="2:9" x14ac:dyDescent="0.25">
      <c r="B66" s="885"/>
      <c r="C66" s="886"/>
      <c r="D66" s="502" t="s">
        <v>77</v>
      </c>
      <c r="E66" s="695">
        <v>0.13120999999999999</v>
      </c>
      <c r="F66" s="696">
        <v>0.29154600000000003</v>
      </c>
    </row>
    <row r="67" spans="2:9" ht="15.75" thickBot="1" x14ac:dyDescent="0.3">
      <c r="B67" s="559" t="s">
        <v>451</v>
      </c>
      <c r="C67" s="560"/>
      <c r="D67" s="634" t="s">
        <v>109</v>
      </c>
      <c r="E67" s="635">
        <f>E60*E66</f>
        <v>2.3999896640999999E-2</v>
      </c>
      <c r="F67" s="613">
        <f>F60*F66</f>
        <v>0.100000278</v>
      </c>
    </row>
    <row r="68" spans="2:9" x14ac:dyDescent="0.25">
      <c r="B68" s="146" t="s">
        <v>452</v>
      </c>
      <c r="C68" s="725"/>
      <c r="F68" s="572"/>
    </row>
    <row r="69" spans="2:9" ht="15.75" thickBot="1" x14ac:dyDescent="0.3"/>
    <row r="70" spans="2:9" x14ac:dyDescent="0.25">
      <c r="B70" s="617"/>
      <c r="C70" s="877" t="s">
        <v>70</v>
      </c>
      <c r="D70" s="878"/>
      <c r="E70" s="879"/>
      <c r="F70" s="880"/>
      <c r="G70" s="878"/>
      <c r="H70" s="881"/>
    </row>
    <row r="71" spans="2:9" x14ac:dyDescent="0.25">
      <c r="B71" s="618"/>
      <c r="C71" s="5" t="s">
        <v>71</v>
      </c>
      <c r="D71" s="882" t="s">
        <v>165</v>
      </c>
      <c r="E71" s="864" t="s">
        <v>102</v>
      </c>
      <c r="F71" s="865"/>
      <c r="G71" s="85" t="s">
        <v>3</v>
      </c>
      <c r="H71" s="619" t="s">
        <v>4</v>
      </c>
    </row>
    <row r="72" spans="2:9" x14ac:dyDescent="0.25">
      <c r="B72" s="620" t="s">
        <v>5</v>
      </c>
      <c r="C72" s="8"/>
      <c r="D72" s="883"/>
      <c r="E72" s="866"/>
      <c r="F72" s="867"/>
      <c r="G72" s="621" t="s">
        <v>7</v>
      </c>
      <c r="H72" s="622" t="s">
        <v>7</v>
      </c>
    </row>
    <row r="73" spans="2:9" x14ac:dyDescent="0.25">
      <c r="B73" s="623">
        <v>1</v>
      </c>
      <c r="C73" s="11">
        <v>2</v>
      </c>
      <c r="D73" s="11" t="s">
        <v>95</v>
      </c>
      <c r="E73" s="873" t="s">
        <v>99</v>
      </c>
      <c r="F73" s="874"/>
      <c r="G73" s="11" t="s">
        <v>100</v>
      </c>
      <c r="H73" s="624" t="s">
        <v>101</v>
      </c>
    </row>
    <row r="74" spans="2:9" ht="22.5" customHeight="1" x14ac:dyDescent="0.25">
      <c r="B74" s="625" t="s">
        <v>72</v>
      </c>
      <c r="C74" s="13" t="s">
        <v>104</v>
      </c>
      <c r="D74" s="13" t="s">
        <v>73</v>
      </c>
      <c r="E74" s="875" t="s">
        <v>426</v>
      </c>
      <c r="F74" s="859"/>
      <c r="G74" s="137">
        <f>IF(F44=0,IF(F50&lt;&gt;0,F42/F50,0),F42/F44)</f>
        <v>23.850000054900004</v>
      </c>
      <c r="H74" s="626">
        <f>IF((H46+H48)=0,IF(H51&lt;&gt;0,H42/H51,0),H42/(H46+H48))</f>
        <v>46.909090181818186</v>
      </c>
      <c r="I74" s="29"/>
    </row>
    <row r="75" spans="2:9" x14ac:dyDescent="0.25">
      <c r="B75" s="625" t="s">
        <v>74</v>
      </c>
      <c r="C75" s="13" t="s">
        <v>358</v>
      </c>
      <c r="D75" s="13" t="s">
        <v>109</v>
      </c>
      <c r="E75" s="858" t="s">
        <v>404</v>
      </c>
      <c r="F75" s="870"/>
      <c r="G75" s="340">
        <f>G76+G77</f>
        <v>0</v>
      </c>
      <c r="H75" s="682">
        <f>H76+H77</f>
        <v>0</v>
      </c>
      <c r="I75" s="29"/>
    </row>
    <row r="76" spans="2:9" ht="16.5" customHeight="1" x14ac:dyDescent="0.25">
      <c r="B76" s="625" t="s">
        <v>352</v>
      </c>
      <c r="C76" s="13" t="s">
        <v>359</v>
      </c>
      <c r="D76" s="13" t="s">
        <v>109</v>
      </c>
      <c r="E76" s="871" t="s">
        <v>430</v>
      </c>
      <c r="F76" s="872"/>
      <c r="G76" s="310">
        <v>0</v>
      </c>
      <c r="H76" s="683">
        <v>0</v>
      </c>
      <c r="I76" s="29"/>
    </row>
    <row r="77" spans="2:9" ht="23.1" customHeight="1" x14ac:dyDescent="0.25">
      <c r="B77" s="625" t="s">
        <v>353</v>
      </c>
      <c r="C77" s="542" t="s">
        <v>360</v>
      </c>
      <c r="D77" s="13" t="s">
        <v>109</v>
      </c>
      <c r="E77" s="871" t="s">
        <v>431</v>
      </c>
      <c r="F77" s="872"/>
      <c r="G77" s="310">
        <v>0</v>
      </c>
      <c r="H77" s="683">
        <v>0</v>
      </c>
      <c r="I77" s="29"/>
    </row>
    <row r="78" spans="2:9" x14ac:dyDescent="0.25">
      <c r="B78" s="625" t="s">
        <v>75</v>
      </c>
      <c r="C78" s="13" t="s">
        <v>396</v>
      </c>
      <c r="D78" s="13" t="s">
        <v>109</v>
      </c>
      <c r="E78" s="858" t="s">
        <v>405</v>
      </c>
      <c r="F78" s="859"/>
      <c r="G78" s="122">
        <f>F42+G75</f>
        <v>0.79499992232999994</v>
      </c>
      <c r="H78" s="627">
        <f>H42+H75</f>
        <v>2.0639999680000001</v>
      </c>
      <c r="I78" s="29"/>
    </row>
    <row r="79" spans="2:9" x14ac:dyDescent="0.25">
      <c r="B79" s="625" t="s">
        <v>76</v>
      </c>
      <c r="C79" s="13" t="s">
        <v>373</v>
      </c>
      <c r="D79" s="13" t="s">
        <v>109</v>
      </c>
      <c r="E79" s="876" t="s">
        <v>427</v>
      </c>
      <c r="F79" s="859"/>
      <c r="G79" s="119">
        <f>E67</f>
        <v>2.3999896640999999E-2</v>
      </c>
      <c r="H79" s="627">
        <f>F67</f>
        <v>0.100000278</v>
      </c>
      <c r="I79" s="29"/>
    </row>
    <row r="80" spans="2:9" ht="24.6" customHeight="1" x14ac:dyDescent="0.25">
      <c r="B80" s="625" t="s">
        <v>78</v>
      </c>
      <c r="C80" s="543" t="s">
        <v>397</v>
      </c>
      <c r="D80" s="13" t="s">
        <v>77</v>
      </c>
      <c r="E80" s="875" t="s">
        <v>406</v>
      </c>
      <c r="F80" s="859"/>
      <c r="G80" s="138">
        <f>IF(G78=0,0,G79/G78*100)</f>
        <v>3.0188552183326856</v>
      </c>
      <c r="H80" s="626">
        <f>IF(H78=0,0,H79/H78*100)</f>
        <v>4.8449747844182136</v>
      </c>
      <c r="I80" s="29"/>
    </row>
    <row r="81" spans="1:12" x14ac:dyDescent="0.25">
      <c r="B81" s="625" t="s">
        <v>79</v>
      </c>
      <c r="C81" s="21" t="s">
        <v>408</v>
      </c>
      <c r="D81" s="13" t="s">
        <v>109</v>
      </c>
      <c r="E81" s="858" t="s">
        <v>407</v>
      </c>
      <c r="F81" s="859"/>
      <c r="G81" s="120">
        <v>0</v>
      </c>
      <c r="H81" s="149">
        <v>0</v>
      </c>
    </row>
    <row r="82" spans="1:12" x14ac:dyDescent="0.25">
      <c r="B82" s="625" t="s">
        <v>80</v>
      </c>
      <c r="C82" s="497" t="s">
        <v>354</v>
      </c>
      <c r="D82" s="13" t="s">
        <v>109</v>
      </c>
      <c r="E82" s="858" t="s">
        <v>409</v>
      </c>
      <c r="F82" s="870"/>
      <c r="G82" s="120">
        <f>G79-G81</f>
        <v>2.3999896640999999E-2</v>
      </c>
      <c r="H82" s="149">
        <f>H79-H81</f>
        <v>0.100000278</v>
      </c>
      <c r="I82" s="868" t="s">
        <v>248</v>
      </c>
      <c r="J82" s="868"/>
      <c r="K82" s="869"/>
    </row>
    <row r="83" spans="1:12" ht="15.75" customHeight="1" x14ac:dyDescent="0.25">
      <c r="B83" s="625" t="s">
        <v>82</v>
      </c>
      <c r="C83" s="13" t="s">
        <v>395</v>
      </c>
      <c r="D83" s="13" t="s">
        <v>10</v>
      </c>
      <c r="E83" s="858" t="s">
        <v>410</v>
      </c>
      <c r="F83" s="859"/>
      <c r="G83" s="123">
        <f>G78+G79</f>
        <v>0.81899981897099994</v>
      </c>
      <c r="H83" s="627">
        <f>H78+H79</f>
        <v>2.1640002460000001</v>
      </c>
      <c r="I83" s="860" t="s">
        <v>215</v>
      </c>
      <c r="J83" s="862" t="s">
        <v>110</v>
      </c>
      <c r="K83" s="862" t="s">
        <v>111</v>
      </c>
    </row>
    <row r="84" spans="1:12" ht="15" customHeight="1" x14ac:dyDescent="0.25">
      <c r="B84" s="625" t="s">
        <v>83</v>
      </c>
      <c r="C84" s="13" t="s">
        <v>394</v>
      </c>
      <c r="D84" s="13" t="s">
        <v>203</v>
      </c>
      <c r="E84" s="858" t="s">
        <v>411</v>
      </c>
      <c r="F84" s="859"/>
      <c r="G84" s="122">
        <f>+IF(F44&lt;&gt;0,F44,IF(F51&lt;&gt;0,F51,F50))</f>
        <v>3.3333330000000001E-2</v>
      </c>
      <c r="H84" s="627">
        <f>+IF((H46+H48)&lt;&gt;0,H46+H48,IF(H51&lt;&gt;0,H51,H50))</f>
        <v>4.3999999999999997E-2</v>
      </c>
      <c r="I84" s="861"/>
      <c r="J84" s="863"/>
      <c r="K84" s="863"/>
    </row>
    <row r="85" spans="1:12" ht="15" customHeight="1" x14ac:dyDescent="0.25">
      <c r="B85" s="628" t="s">
        <v>155</v>
      </c>
      <c r="C85" s="244" t="s">
        <v>393</v>
      </c>
      <c r="D85" s="244" t="s">
        <v>73</v>
      </c>
      <c r="E85" s="854" t="s">
        <v>412</v>
      </c>
      <c r="F85" s="855"/>
      <c r="G85" s="573">
        <f>IF(G84=0,0,G83/G84)</f>
        <v>24.569997026129698</v>
      </c>
      <c r="H85" s="629">
        <f>IF(H84=0,0,H83/H84)</f>
        <v>49.181823772727277</v>
      </c>
      <c r="I85" s="498" t="s">
        <v>232</v>
      </c>
      <c r="J85" s="394">
        <f>J21+SUM(J24:J40)</f>
        <v>0</v>
      </c>
      <c r="K85" s="394">
        <f>K21+SUM(K24:K40)</f>
        <v>0</v>
      </c>
    </row>
    <row r="86" spans="1:12" ht="15.75" thickBot="1" x14ac:dyDescent="0.3">
      <c r="B86" s="630" t="s">
        <v>355</v>
      </c>
      <c r="C86" s="631" t="s">
        <v>392</v>
      </c>
      <c r="D86" s="631" t="s">
        <v>73</v>
      </c>
      <c r="E86" s="856" t="s">
        <v>413</v>
      </c>
      <c r="F86" s="857"/>
      <c r="G86" s="632">
        <f>G85*(1+G89)</f>
        <v>27.518396669265265</v>
      </c>
      <c r="H86" s="633">
        <f>H85*(1+H89)</f>
        <v>55.083642625454559</v>
      </c>
    </row>
    <row r="87" spans="1:12" x14ac:dyDescent="0.25"/>
    <row r="88" spans="1:12" x14ac:dyDescent="0.25">
      <c r="B88" s="48"/>
      <c r="C88" s="48"/>
      <c r="D88" s="48"/>
      <c r="E88" s="48"/>
      <c r="F88" s="48"/>
      <c r="G88" s="48"/>
      <c r="H88" s="48"/>
    </row>
    <row r="89" spans="1:12" x14ac:dyDescent="0.25">
      <c r="A89" s="252"/>
      <c r="B89" s="853" t="s">
        <v>225</v>
      </c>
      <c r="C89" s="853"/>
      <c r="D89" s="853"/>
      <c r="E89" s="853"/>
      <c r="F89" s="853"/>
      <c r="G89" s="488">
        <v>0.12</v>
      </c>
      <c r="H89" s="488">
        <v>0.12</v>
      </c>
      <c r="I89" s="252"/>
      <c r="J89" s="252"/>
      <c r="K89" s="252"/>
      <c r="L89" s="252"/>
    </row>
    <row r="90" spans="1:12" x14ac:dyDescent="0.25">
      <c r="A90" s="252"/>
      <c r="B90" s="48"/>
      <c r="C90" s="253"/>
      <c r="D90" s="48"/>
      <c r="E90" s="48"/>
      <c r="F90" s="48"/>
      <c r="G90" s="254"/>
      <c r="H90" s="254"/>
      <c r="I90" s="252"/>
      <c r="J90" s="252"/>
      <c r="K90" s="252"/>
      <c r="L90" s="252"/>
    </row>
    <row r="91" spans="1:12" x14ac:dyDescent="0.25">
      <c r="A91" s="252"/>
      <c r="B91" s="48"/>
      <c r="C91" s="48"/>
      <c r="D91" s="48"/>
      <c r="E91" s="48"/>
      <c r="F91" s="48"/>
      <c r="G91" s="48"/>
      <c r="H91" s="48"/>
      <c r="I91" s="252"/>
      <c r="J91" s="252"/>
      <c r="K91" s="252"/>
      <c r="L91" s="252"/>
    </row>
    <row r="92" spans="1:12" x14ac:dyDescent="0.25">
      <c r="A92" s="252"/>
      <c r="B92" s="48"/>
      <c r="C92" s="48"/>
      <c r="D92" s="48"/>
      <c r="E92" s="48"/>
      <c r="F92" s="48"/>
      <c r="G92" s="48"/>
      <c r="H92" s="48"/>
      <c r="I92" s="252"/>
      <c r="J92" s="252"/>
      <c r="K92" s="252"/>
      <c r="L92" s="252"/>
    </row>
    <row r="93" spans="1:12" x14ac:dyDescent="0.25">
      <c r="A93" s="252"/>
      <c r="B93" s="48"/>
      <c r="C93" s="198"/>
      <c r="D93" s="198"/>
      <c r="E93" s="198"/>
      <c r="F93" s="198"/>
      <c r="G93" s="198"/>
      <c r="H93" s="198"/>
      <c r="I93" s="252"/>
      <c r="J93" s="252"/>
      <c r="K93" s="252"/>
      <c r="L93" s="252"/>
    </row>
    <row r="94" spans="1:12" x14ac:dyDescent="0.25">
      <c r="A94" s="252"/>
      <c r="B94" s="48"/>
      <c r="C94" s="198"/>
      <c r="D94" s="198"/>
      <c r="E94" s="198"/>
      <c r="F94" s="198"/>
      <c r="G94" s="198"/>
      <c r="H94" s="198"/>
      <c r="I94" s="252"/>
      <c r="J94" s="252"/>
      <c r="K94" s="252"/>
      <c r="L94" s="252"/>
    </row>
    <row r="95" spans="1:12" x14ac:dyDescent="0.25">
      <c r="A95" s="252"/>
      <c r="B95" s="48"/>
      <c r="C95" s="198"/>
      <c r="D95" s="198"/>
      <c r="E95" s="198"/>
      <c r="F95" s="198"/>
      <c r="G95" s="198"/>
      <c r="H95" s="198"/>
      <c r="I95" s="252"/>
      <c r="J95" s="252"/>
      <c r="K95" s="252"/>
      <c r="L95" s="252"/>
    </row>
    <row r="96" spans="1:12" x14ac:dyDescent="0.25">
      <c r="B96" s="241" t="s">
        <v>249</v>
      </c>
      <c r="C96" s="62"/>
      <c r="D96" s="62"/>
      <c r="E96" s="62"/>
      <c r="F96" s="62"/>
      <c r="G96" s="62"/>
      <c r="H96" s="62"/>
      <c r="I96" s="62"/>
      <c r="J96" s="252"/>
      <c r="K96" s="252"/>
    </row>
    <row r="97" spans="2:11" x14ac:dyDescent="0.25">
      <c r="B97" s="398" t="s">
        <v>117</v>
      </c>
      <c r="C97" s="399"/>
      <c r="D97" s="399"/>
      <c r="E97" s="399"/>
      <c r="F97" s="399"/>
      <c r="G97" s="399"/>
      <c r="H97" s="399"/>
      <c r="I97" s="400"/>
      <c r="J97" s="252"/>
      <c r="K97" s="252"/>
    </row>
    <row r="98" spans="2:11" x14ac:dyDescent="0.25">
      <c r="B98" s="401" t="s">
        <v>208</v>
      </c>
      <c r="C98" s="402"/>
      <c r="D98" s="402"/>
      <c r="E98" s="402"/>
      <c r="F98" s="402"/>
      <c r="G98" s="402"/>
      <c r="H98" s="402"/>
      <c r="I98" s="403"/>
      <c r="J98" s="252"/>
      <c r="K98" s="252"/>
    </row>
    <row r="99" spans="2:11" x14ac:dyDescent="0.25">
      <c r="B99" s="220" t="s">
        <v>176</v>
      </c>
      <c r="C99" s="221"/>
      <c r="D99" s="221"/>
      <c r="E99" s="221"/>
      <c r="F99" s="221"/>
      <c r="G99" s="221"/>
      <c r="H99" s="221"/>
      <c r="I99" s="222"/>
      <c r="J99" s="252"/>
      <c r="K99" s="252"/>
    </row>
    <row r="100" spans="2:11" x14ac:dyDescent="0.25">
      <c r="B100" s="404" t="s">
        <v>140</v>
      </c>
      <c r="C100" s="405"/>
      <c r="D100" s="405"/>
      <c r="E100" s="405"/>
      <c r="F100" s="405"/>
      <c r="G100" s="405"/>
      <c r="H100" s="405"/>
      <c r="I100" s="406"/>
      <c r="J100" s="252"/>
      <c r="K100" s="252"/>
    </row>
    <row r="101" spans="2:11" x14ac:dyDescent="0.25">
      <c r="B101" s="223" t="s">
        <v>135</v>
      </c>
      <c r="C101" s="224"/>
      <c r="D101" s="224"/>
      <c r="E101" s="224"/>
      <c r="F101" s="224"/>
      <c r="G101" s="224"/>
      <c r="H101" s="224"/>
      <c r="I101" s="225"/>
      <c r="J101" s="252"/>
      <c r="K101" s="252"/>
    </row>
    <row r="102" spans="2:11" x14ac:dyDescent="0.25">
      <c r="B102" s="226" t="s">
        <v>163</v>
      </c>
      <c r="C102" s="227"/>
      <c r="D102" s="227"/>
      <c r="E102" s="227"/>
      <c r="F102" s="227"/>
      <c r="G102" s="227"/>
      <c r="H102" s="227"/>
      <c r="I102" s="228"/>
      <c r="J102" s="252"/>
      <c r="K102" s="252"/>
    </row>
    <row r="103" spans="2:11" x14ac:dyDescent="0.25">
      <c r="B103" s="48"/>
      <c r="C103" s="198"/>
      <c r="D103" s="198"/>
      <c r="E103" s="198"/>
      <c r="F103" s="198"/>
      <c r="G103" s="198"/>
      <c r="H103" s="198"/>
      <c r="I103" s="252"/>
      <c r="J103" s="252"/>
      <c r="K103" s="252"/>
    </row>
    <row r="104" spans="2:11" x14ac:dyDescent="0.25">
      <c r="B104" s="48"/>
      <c r="C104" s="198"/>
      <c r="D104" s="198"/>
      <c r="E104" s="198"/>
      <c r="F104" s="198"/>
      <c r="G104" s="198"/>
      <c r="H104" s="198"/>
      <c r="I104" s="252"/>
      <c r="J104" s="252"/>
      <c r="K104" s="252"/>
    </row>
    <row r="105" spans="2:11" x14ac:dyDescent="0.25">
      <c r="B105" s="48"/>
      <c r="C105" s="198"/>
      <c r="D105" s="198"/>
      <c r="E105" s="198"/>
      <c r="F105" s="198"/>
      <c r="G105" s="198"/>
      <c r="H105" s="198"/>
      <c r="I105" s="252"/>
      <c r="J105" s="252"/>
      <c r="K105" s="252"/>
    </row>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sheetData>
  <sheetProtection password="B65E" sheet="1" objects="1" scenarios="1"/>
  <mergeCells count="41">
    <mergeCell ref="B2:H2"/>
    <mergeCell ref="I18:K18"/>
    <mergeCell ref="D7:H7"/>
    <mergeCell ref="D8:H8"/>
    <mergeCell ref="D9:H9"/>
    <mergeCell ref="D5:H5"/>
    <mergeCell ref="D6:H6"/>
    <mergeCell ref="D10:H10"/>
    <mergeCell ref="C70:H70"/>
    <mergeCell ref="D71:D72"/>
    <mergeCell ref="C12:H12"/>
    <mergeCell ref="E13:F13"/>
    <mergeCell ref="G13:H13"/>
    <mergeCell ref="B65:C66"/>
    <mergeCell ref="B54:F54"/>
    <mergeCell ref="E55:F55"/>
    <mergeCell ref="D55:D56"/>
    <mergeCell ref="C55:C56"/>
    <mergeCell ref="B55:B56"/>
    <mergeCell ref="B61:C61"/>
    <mergeCell ref="B57:F57"/>
    <mergeCell ref="J83:J84"/>
    <mergeCell ref="K83:K84"/>
    <mergeCell ref="E78:F78"/>
    <mergeCell ref="E71:F72"/>
    <mergeCell ref="I82:K82"/>
    <mergeCell ref="E75:F75"/>
    <mergeCell ref="E76:F76"/>
    <mergeCell ref="E77:F77"/>
    <mergeCell ref="E82:F82"/>
    <mergeCell ref="E73:F73"/>
    <mergeCell ref="E74:F74"/>
    <mergeCell ref="E79:F79"/>
    <mergeCell ref="E80:F80"/>
    <mergeCell ref="E83:F83"/>
    <mergeCell ref="E81:F81"/>
    <mergeCell ref="B89:F89"/>
    <mergeCell ref="E85:F85"/>
    <mergeCell ref="E86:F86"/>
    <mergeCell ref="E84:F84"/>
    <mergeCell ref="I83:I84"/>
  </mergeCells>
  <conditionalFormatting sqref="I89">
    <cfRule type="expression" dxfId="525" priority="50">
      <formula>OR($G$89&lt;0,$H$89&lt;0)</formula>
    </cfRule>
  </conditionalFormatting>
  <conditionalFormatting sqref="J21 J24">
    <cfRule type="expression" dxfId="521" priority="91">
      <formula>$G$89=0</formula>
    </cfRule>
  </conditionalFormatting>
  <conditionalFormatting sqref="J26:J27">
    <cfRule type="expression" dxfId="519" priority="48">
      <formula>$G$89=0</formula>
    </cfRule>
  </conditionalFormatting>
  <conditionalFormatting sqref="J35:J36">
    <cfRule type="expression" dxfId="517" priority="40">
      <formula>$G$89=0</formula>
    </cfRule>
  </conditionalFormatting>
  <conditionalFormatting sqref="J39:J40">
    <cfRule type="expression" dxfId="516" priority="36">
      <formula>$G$89=0</formula>
    </cfRule>
  </conditionalFormatting>
  <conditionalFormatting sqref="J83">
    <cfRule type="expression" dxfId="513" priority="26">
      <formula>$G$89=0</formula>
    </cfRule>
  </conditionalFormatting>
  <conditionalFormatting sqref="K21 K24">
    <cfRule type="expression" dxfId="510" priority="92">
      <formula>$H$89=0</formula>
    </cfRule>
  </conditionalFormatting>
  <conditionalFormatting sqref="K26:K27">
    <cfRule type="expression" dxfId="507" priority="49">
      <formula>$H$89=0</formula>
    </cfRule>
  </conditionalFormatting>
  <conditionalFormatting sqref="K35:K36">
    <cfRule type="expression" dxfId="506" priority="41">
      <formula>$H$89=0</formula>
    </cfRule>
  </conditionalFormatting>
  <conditionalFormatting sqref="K39:K40">
    <cfRule type="expression" dxfId="504" priority="37">
      <formula>$H$89=0</formula>
    </cfRule>
  </conditionalFormatting>
  <conditionalFormatting sqref="L38">
    <cfRule type="expression" dxfId="501" priority="74">
      <formula>OR($F$38&gt;0,$H$38&gt;0)</formula>
    </cfRule>
  </conditionalFormatting>
  <dataValidations count="3">
    <dataValidation type="decimal" operator="lessThanOrEqual" allowBlank="1" showInputMessage="1" showErrorMessage="1" error="Je třeba uvést v záporné hodnotě." sqref="H38 E38:F38" xr:uid="{00000000-0002-0000-0200-000000000000}">
      <formula1>0</formula1>
    </dataValidation>
    <dataValidation type="decimal" operator="lessThanOrEqual" allowBlank="1" showInputMessage="1" showErrorMessage="1" error="Je třeba uvést v záporné hodnotě._x000a_" sqref="G38" xr:uid="{00000000-0002-0000-0200-000001000000}">
      <formula1>0</formula1>
    </dataValidation>
    <dataValidation type="decimal" operator="lessThanOrEqual" allowBlank="1" showInputMessage="1" showErrorMessage="1" error="Není možné zadat hodnotu vyšší než je hodnota v pol. 9." sqref="H41 F41" xr:uid="{00000000-0002-0000-0200-000002000000}">
      <formula1>F40</formula1>
    </dataValidation>
  </dataValidations>
  <pageMargins left="0.7" right="0.7" top="0.78740157499999996" bottom="0.78740157499999996" header="0.3" footer="0.3"/>
  <pageSetup paperSize="9" scale="69" orientation="portrait" horizontalDpi="4294967293" verticalDpi="4294967293" r:id="rId1"/>
  <rowBreaks count="1" manualBreakCount="1">
    <brk id="68" max="11" man="1"/>
  </rowBreaks>
  <ignoredErrors>
    <ignoredError sqref="E17:H17 E22:H22 E25:H25 E28:H28 E42:H42 E33:H33" formulaRange="1"/>
  </ignoredErrors>
  <extLst>
    <ext xmlns:x14="http://schemas.microsoft.com/office/spreadsheetml/2009/9/main" uri="{78C0D931-6437-407d-A8EE-F0AAD7539E65}">
      <x14:conditionalFormattings>
        <x14:conditionalFormatting xmlns:xm="http://schemas.microsoft.com/office/excel/2006/main">
          <x14:cfRule type="expression" priority="31" id="{A822DF12-A13D-43AD-BDDF-4FAAC245F805}">
            <xm:f>Postup!$K$21="2"</xm:f>
            <x14:dxf>
              <font>
                <color auto="1"/>
              </font>
              <fill>
                <patternFill>
                  <bgColor theme="0" tint="-0.24994659260841701"/>
                </patternFill>
              </fill>
            </x14:dxf>
          </x14:cfRule>
          <xm:sqref>E13:F42</xm:sqref>
        </x14:conditionalFormatting>
        <x14:conditionalFormatting xmlns:xm="http://schemas.microsoft.com/office/excel/2006/main">
          <x14:cfRule type="expression" priority="7" id="{8984DF0F-F5B7-403C-9F80-8D36D18BC6D3}">
            <xm:f>Postup!$K$21="2"</xm:f>
            <x14:dxf>
              <font>
                <color auto="1"/>
              </font>
              <fill>
                <patternFill>
                  <bgColor theme="0" tint="-0.24994659260841701"/>
                </patternFill>
              </fill>
            </x14:dxf>
          </x14:cfRule>
          <xm:sqref>E43:F51 E58 E66</xm:sqref>
        </x14:conditionalFormatting>
        <x14:conditionalFormatting xmlns:xm="http://schemas.microsoft.com/office/excel/2006/main">
          <x14:cfRule type="expression" priority="5" id="{4A25A0C6-F212-4C49-A6E8-8E2F44A7FEF9}">
            <xm:f>OR(Postup!$K$18="0",Postup!$K$21="0")</xm:f>
            <x14:dxf>
              <font>
                <color theme="1"/>
              </font>
              <fill>
                <patternFill>
                  <bgColor theme="0" tint="-0.24994659260841701"/>
                </patternFill>
              </fill>
            </x14:dxf>
          </x14:cfRule>
          <xm:sqref>E58:F58 E66:F66 E13:H51</xm:sqref>
        </x14:conditionalFormatting>
        <x14:conditionalFormatting xmlns:xm="http://schemas.microsoft.com/office/excel/2006/main">
          <x14:cfRule type="expression" priority="2" id="{7B4F0D79-E863-478E-B77F-62141D304E40}">
            <xm:f>Postup!$K$18="1"</xm:f>
            <x14:dxf>
              <font>
                <color auto="1"/>
              </font>
              <fill>
                <patternFill>
                  <bgColor theme="0" tint="-0.24994659260841701"/>
                </patternFill>
              </fill>
            </x14:dxf>
          </x14:cfRule>
          <xm:sqref>E58:F67</xm:sqref>
        </x14:conditionalFormatting>
        <x14:conditionalFormatting xmlns:xm="http://schemas.microsoft.com/office/excel/2006/main">
          <x14:cfRule type="expression" priority="8" id="{EE5C784C-69E2-49AF-8F06-CC1ED5E6896A}">
            <xm:f>Postup!$J$78="Ano"</xm:f>
            <x14:dxf>
              <font>
                <color theme="1"/>
              </font>
              <fill>
                <patternFill>
                  <bgColor theme="0" tint="-0.24994659260841701"/>
                </patternFill>
              </fill>
            </x14:dxf>
          </x14:cfRule>
          <xm:sqref>F29 H29</xm:sqref>
        </x14:conditionalFormatting>
        <x14:conditionalFormatting xmlns:xm="http://schemas.microsoft.com/office/excel/2006/main">
          <x14:cfRule type="expression" priority="67" id="{A91A4ADC-137E-4689-8BF8-00C631EAB1E9}">
            <xm:f>Postup!$K$21="1"</xm:f>
            <x14:dxf>
              <font>
                <color auto="1"/>
              </font>
              <fill>
                <patternFill>
                  <bgColor theme="0" tint="-0.24994659260841701"/>
                </patternFill>
              </fill>
            </x14:dxf>
          </x14:cfRule>
          <xm:sqref>F58 F66</xm:sqref>
        </x14:conditionalFormatting>
        <x14:conditionalFormatting xmlns:xm="http://schemas.microsoft.com/office/excel/2006/main">
          <x14:cfRule type="expression" priority="88" id="{3E6C9311-DF1D-43EC-96E3-E55AB4865F93}">
            <xm:f>Postup!$K$21="2"</xm:f>
            <x14:dxf>
              <fill>
                <patternFill>
                  <bgColor theme="0" tint="-0.24994659260841701"/>
                </patternFill>
              </fill>
            </x14:dxf>
          </x14:cfRule>
          <xm:sqref>G71:G86</xm:sqref>
        </x14:conditionalFormatting>
        <x14:conditionalFormatting xmlns:xm="http://schemas.microsoft.com/office/excel/2006/main">
          <x14:cfRule type="expression" priority="33" id="{EFFC6A74-6C7D-4634-B129-2FF2E7B3A6E7}">
            <xm:f>Postup!$K$21="2"</xm:f>
            <x14:dxf>
              <fill>
                <patternFill>
                  <bgColor theme="0" tint="-0.24994659260841701"/>
                </patternFill>
              </fill>
            </x14:dxf>
          </x14:cfRule>
          <xm:sqref>G89</xm:sqref>
        </x14:conditionalFormatting>
        <x14:conditionalFormatting xmlns:xm="http://schemas.microsoft.com/office/excel/2006/main">
          <x14:cfRule type="expression" priority="30" id="{9F45AC1A-78F2-42A5-A823-063201359ED9}">
            <xm:f>Postup!$K$21="1"</xm:f>
            <x14:dxf>
              <font>
                <color auto="1"/>
              </font>
              <fill>
                <patternFill>
                  <bgColor theme="0" tint="-0.24994659260841701"/>
                </patternFill>
              </fill>
            </x14:dxf>
          </x14:cfRule>
          <xm:sqref>G13:H42</xm:sqref>
        </x14:conditionalFormatting>
        <x14:conditionalFormatting xmlns:xm="http://schemas.microsoft.com/office/excel/2006/main">
          <x14:cfRule type="expression" priority="6" id="{F8507764-C8B8-4319-A3C1-B697E96C1655}">
            <xm:f>Postup!$K$21="1"</xm:f>
            <x14:dxf>
              <font>
                <color auto="1"/>
              </font>
              <fill>
                <patternFill>
                  <bgColor theme="0" tint="-0.24994659260841701"/>
                </patternFill>
              </fill>
            </x14:dxf>
          </x14:cfRule>
          <xm:sqref>G43:H51</xm:sqref>
        </x14:conditionalFormatting>
        <x14:conditionalFormatting xmlns:xm="http://schemas.microsoft.com/office/excel/2006/main">
          <x14:cfRule type="expression" priority="9" id="{346668FA-4646-425C-8088-6420BECE41F5}">
            <xm:f>OR(Postup!$K$18="0",Postup!$K$21="0")</xm:f>
            <x14:dxf>
              <font>
                <color theme="1"/>
              </font>
              <fill>
                <patternFill>
                  <bgColor theme="0" tint="-0.24994659260841701"/>
                </patternFill>
              </fill>
            </x14:dxf>
          </x14:cfRule>
          <xm:sqref>G71:H86 J83:K85 D8:H10 J20:K21 J23:K24 J26:K27 J35:K36 J39:K40 G89:H89</xm:sqref>
        </x14:conditionalFormatting>
        <x14:conditionalFormatting xmlns:xm="http://schemas.microsoft.com/office/excel/2006/main">
          <x14:cfRule type="expression" priority="1" id="{F6627165-69BC-498E-8C62-86DBD1647D25}">
            <xm:f>Postup!$K$18="1"</xm:f>
            <x14:dxf>
              <font>
                <color auto="1"/>
              </font>
              <fill>
                <patternFill>
                  <bgColor theme="0" tint="-0.24994659260841701"/>
                </patternFill>
              </fill>
            </x14:dxf>
          </x14:cfRule>
          <xm:sqref>G74:H86 J85:K85</xm:sqref>
        </x14:conditionalFormatting>
        <x14:conditionalFormatting xmlns:xm="http://schemas.microsoft.com/office/excel/2006/main">
          <x14:cfRule type="expression" priority="87" id="{9B043EBE-91C4-4C0D-B7EB-815240648CBB}">
            <xm:f>Postup!$K$21="1"</xm:f>
            <x14:dxf>
              <fill>
                <patternFill>
                  <bgColor theme="0" tint="-0.24994659260841701"/>
                </patternFill>
              </fill>
            </x14:dxf>
          </x14:cfRule>
          <xm:sqref>H71:H86</xm:sqref>
        </x14:conditionalFormatting>
        <x14:conditionalFormatting xmlns:xm="http://schemas.microsoft.com/office/excel/2006/main">
          <x14:cfRule type="expression" priority="32" id="{3DF0EDA6-47CD-4566-A30C-E5DA7FBF02A3}">
            <xm:f>Postup!$K$21="1"</xm:f>
            <x14:dxf>
              <fill>
                <patternFill>
                  <bgColor theme="0" tint="-0.24994659260841701"/>
                </patternFill>
              </fill>
            </x14:dxf>
          </x14:cfRule>
          <xm:sqref>H89</xm:sqref>
        </x14:conditionalFormatting>
        <x14:conditionalFormatting xmlns:xm="http://schemas.microsoft.com/office/excel/2006/main">
          <x14:cfRule type="expression" priority="10" id="{0224832D-8B83-4695-9456-9CD3C9383BF7}">
            <xm:f>Postup!$M$65=0</xm:f>
            <x14:dxf>
              <font>
                <color theme="1"/>
              </font>
              <fill>
                <patternFill>
                  <bgColor theme="0" tint="-0.24994659260841701"/>
                </patternFill>
              </fill>
            </x14:dxf>
          </x14:cfRule>
          <xm:sqref>I83:K85 J21:K21 J24:K24 J26:K27 J35:K36 J39:K40 I82</xm:sqref>
        </x14:conditionalFormatting>
        <x14:conditionalFormatting xmlns:xm="http://schemas.microsoft.com/office/excel/2006/main">
          <x14:cfRule type="expression" priority="16" id="{39CE1CB9-B924-496B-A548-C3F5AC37DBB3}">
            <xm:f>Postup!$K$21="2"</xm:f>
            <x14:dxf>
              <font>
                <color theme="1"/>
              </font>
              <fill>
                <patternFill>
                  <bgColor theme="0" tint="-0.24994659260841701"/>
                </patternFill>
              </fill>
            </x14:dxf>
          </x14:cfRule>
          <xm:sqref>J20 J23</xm:sqref>
        </x14:conditionalFormatting>
        <x14:conditionalFormatting xmlns:xm="http://schemas.microsoft.com/office/excel/2006/main">
          <x14:cfRule type="expression" priority="52" id="{7D6B20C7-3084-4B91-A91D-41C3B0E5B78A}">
            <xm:f>Postup!$K$21="2"</xm:f>
            <x14:dxf>
              <font>
                <color auto="1"/>
              </font>
              <fill>
                <patternFill>
                  <bgColor theme="0" tint="-0.24994659260841701"/>
                </patternFill>
              </fill>
            </x14:dxf>
          </x14:cfRule>
          <xm:sqref>J21 J24</xm:sqref>
        </x14:conditionalFormatting>
        <x14:conditionalFormatting xmlns:xm="http://schemas.microsoft.com/office/excel/2006/main">
          <x14:cfRule type="expression" priority="46" id="{EB151D32-ECF3-4F65-84E2-11441EF994CF}">
            <xm:f>Postup!$K$21="2"</xm:f>
            <x14:dxf>
              <font>
                <color auto="1"/>
              </font>
              <fill>
                <patternFill>
                  <bgColor theme="0" tint="-0.24994659260841701"/>
                </patternFill>
              </fill>
            </x14:dxf>
          </x14:cfRule>
          <xm:sqref>J26:J27</xm:sqref>
        </x14:conditionalFormatting>
        <x14:conditionalFormatting xmlns:xm="http://schemas.microsoft.com/office/excel/2006/main">
          <x14:cfRule type="expression" priority="38" id="{85DB1C16-5F11-445B-B8E7-55947F91428D}">
            <xm:f>Postup!$K$21="2"</xm:f>
            <x14:dxf>
              <font>
                <color auto="1"/>
              </font>
              <fill>
                <patternFill>
                  <bgColor theme="0" tint="-0.24994659260841701"/>
                </patternFill>
              </fill>
            </x14:dxf>
          </x14:cfRule>
          <xm:sqref>J35:J36</xm:sqref>
        </x14:conditionalFormatting>
        <x14:conditionalFormatting xmlns:xm="http://schemas.microsoft.com/office/excel/2006/main">
          <x14:cfRule type="expression" priority="34" id="{888AC08D-015D-4C41-A234-F4A0F1FD2600}">
            <xm:f>Postup!$K$21="2"</xm:f>
            <x14:dxf>
              <font>
                <color auto="1"/>
              </font>
              <fill>
                <patternFill>
                  <bgColor theme="0" tint="-0.24994659260841701"/>
                </patternFill>
              </fill>
            </x14:dxf>
          </x14:cfRule>
          <xm:sqref>J39:J40</xm:sqref>
        </x14:conditionalFormatting>
        <x14:conditionalFormatting xmlns:xm="http://schemas.microsoft.com/office/excel/2006/main">
          <x14:cfRule type="expression" priority="24" id="{19AE7A59-B260-4CFD-89F4-8F70C63CF439}">
            <xm:f>Postup!$K$21="2"</xm:f>
            <x14:dxf>
              <font>
                <color auto="1"/>
              </font>
              <fill>
                <patternFill>
                  <bgColor theme="0" tint="-0.24994659260841701"/>
                </patternFill>
              </fill>
            </x14:dxf>
          </x14:cfRule>
          <xm:sqref>J83</xm:sqref>
        </x14:conditionalFormatting>
        <x14:conditionalFormatting xmlns:xm="http://schemas.microsoft.com/office/excel/2006/main">
          <x14:cfRule type="expression" priority="23" id="{4C1246A1-FED0-492D-AFA4-234BB8B1EE21}">
            <xm:f>Postup!$K$21="2"</xm:f>
            <x14:dxf>
              <fill>
                <patternFill>
                  <bgColor theme="0" tint="-0.24994659260841701"/>
                </patternFill>
              </fill>
            </x14:dxf>
          </x14:cfRule>
          <xm:sqref>J85</xm:sqref>
        </x14:conditionalFormatting>
        <x14:conditionalFormatting xmlns:xm="http://schemas.microsoft.com/office/excel/2006/main">
          <x14:cfRule type="expression" priority="17" id="{27C71F69-5A08-453F-8DBC-09BD52629B53}">
            <xm:f>Postup!$K$21="1"</xm:f>
            <x14:dxf>
              <font>
                <color theme="1"/>
              </font>
              <fill>
                <patternFill>
                  <bgColor theme="0" tint="-0.24994659260841701"/>
                </patternFill>
              </fill>
            </x14:dxf>
          </x14:cfRule>
          <xm:sqref>K20 K23</xm:sqref>
        </x14:conditionalFormatting>
        <x14:conditionalFormatting xmlns:xm="http://schemas.microsoft.com/office/excel/2006/main">
          <x14:cfRule type="expression" priority="61" id="{A9D2BC97-1D64-44D1-9835-1D43312AFF9C}">
            <xm:f>Postup!$K$21="1"</xm:f>
            <x14:dxf>
              <font>
                <color auto="1"/>
              </font>
              <fill>
                <patternFill>
                  <bgColor theme="0" tint="-0.24994659260841701"/>
                </patternFill>
              </fill>
            </x14:dxf>
          </x14:cfRule>
          <xm:sqref>K21 K24</xm:sqref>
        </x14:conditionalFormatting>
        <x14:conditionalFormatting xmlns:xm="http://schemas.microsoft.com/office/excel/2006/main">
          <x14:cfRule type="expression" priority="47" id="{143FE56E-1103-45B4-97EE-5C09492490DD}">
            <xm:f>Postup!$K$21="1"</xm:f>
            <x14:dxf>
              <font>
                <color auto="1"/>
              </font>
              <fill>
                <patternFill>
                  <bgColor theme="0" tint="-0.24994659260841701"/>
                </patternFill>
              </fill>
            </x14:dxf>
          </x14:cfRule>
          <xm:sqref>K26:K27</xm:sqref>
        </x14:conditionalFormatting>
        <x14:conditionalFormatting xmlns:xm="http://schemas.microsoft.com/office/excel/2006/main">
          <x14:cfRule type="expression" priority="39" id="{6EA97CAC-3DA5-42D2-8E9C-EF37B9BD5F40}">
            <xm:f>Postup!$K$21="1"</xm:f>
            <x14:dxf>
              <font>
                <color auto="1"/>
              </font>
              <fill>
                <patternFill>
                  <bgColor theme="0" tint="-0.24994659260841701"/>
                </patternFill>
              </fill>
            </x14:dxf>
          </x14:cfRule>
          <xm:sqref>K35:K36</xm:sqref>
        </x14:conditionalFormatting>
        <x14:conditionalFormatting xmlns:xm="http://schemas.microsoft.com/office/excel/2006/main">
          <x14:cfRule type="expression" priority="35" id="{CCA854C6-59E0-404D-B4EC-429B1C47B5E0}">
            <xm:f>Postup!$K$21="1"</xm:f>
            <x14:dxf>
              <font>
                <color auto="1"/>
              </font>
              <fill>
                <patternFill>
                  <bgColor theme="0" tint="-0.24994659260841701"/>
                </patternFill>
              </fill>
            </x14:dxf>
          </x14:cfRule>
          <xm:sqref>K39:K40</xm:sqref>
        </x14:conditionalFormatting>
        <x14:conditionalFormatting xmlns:xm="http://schemas.microsoft.com/office/excel/2006/main">
          <x14:cfRule type="expression" priority="25" id="{762E9698-E76C-4DF9-9526-92655B16F47E}">
            <xm:f>Postup!$K$21="1"</xm:f>
            <x14:dxf>
              <font>
                <color auto="1"/>
              </font>
              <fill>
                <patternFill>
                  <bgColor theme="0" tint="-0.24994659260841701"/>
                </patternFill>
              </fill>
            </x14:dxf>
          </x14:cfRule>
          <xm:sqref>K83:K85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rgb="FFFF7578"/>
  </sheetPr>
  <dimension ref="A1:BP119"/>
  <sheetViews>
    <sheetView topLeftCell="B1" zoomScale="106" zoomScaleNormal="106" workbookViewId="0">
      <selection activeCell="E11" sqref="E11"/>
    </sheetView>
  </sheetViews>
  <sheetFormatPr defaultColWidth="0" defaultRowHeight="15" zeroHeight="1" x14ac:dyDescent="0.25"/>
  <cols>
    <col min="1" max="1" width="3.5703125" customWidth="1"/>
    <col min="2" max="2" width="5.85546875" customWidth="1"/>
    <col min="3" max="3" width="39.5703125" customWidth="1"/>
    <col min="4" max="4" width="8.85546875" customWidth="1"/>
    <col min="5" max="5" width="11.140625" bestFit="1" customWidth="1"/>
    <col min="6" max="6" width="10.42578125" customWidth="1"/>
    <col min="7" max="7" width="9.140625" customWidth="1"/>
    <col min="8" max="8" width="8.85546875" customWidth="1"/>
    <col min="9" max="12" width="9.140625" customWidth="1"/>
    <col min="13" max="14" width="8.85546875" customWidth="1"/>
    <col min="15" max="16" width="9.140625" customWidth="1"/>
    <col min="17" max="22" width="8.85546875" customWidth="1"/>
    <col min="23" max="23" width="9.140625" customWidth="1"/>
    <col min="24" max="66" width="8.85546875" customWidth="1"/>
    <col min="67" max="68" width="0" hidden="1" customWidth="1"/>
    <col min="69" max="16384" width="8.85546875" hidden="1"/>
  </cols>
  <sheetData>
    <row r="1" spans="1:68" x14ac:dyDescent="0.25">
      <c r="A1" s="145"/>
      <c r="B1" s="262"/>
      <c r="C1" s="145"/>
      <c r="D1" s="145"/>
      <c r="E1" s="145"/>
      <c r="F1" s="145"/>
      <c r="G1" s="145"/>
      <c r="H1" s="145"/>
      <c r="I1" s="145"/>
      <c r="J1" s="145"/>
      <c r="K1" s="192"/>
      <c r="L1" s="145"/>
      <c r="M1" s="145"/>
      <c r="N1" s="145"/>
      <c r="O1" s="145"/>
      <c r="P1" s="145"/>
      <c r="Q1" s="145"/>
      <c r="R1" s="145"/>
      <c r="S1" s="145"/>
      <c r="T1" s="145"/>
      <c r="U1" s="145"/>
      <c r="V1" s="145"/>
      <c r="W1" s="145"/>
      <c r="X1" s="145"/>
      <c r="Y1" s="145"/>
      <c r="Z1" s="145"/>
      <c r="AA1" s="145"/>
      <c r="AB1" s="145"/>
      <c r="AC1" s="145"/>
      <c r="AD1" s="145"/>
      <c r="AE1" s="145"/>
      <c r="AF1" s="145"/>
      <c r="AG1" s="145"/>
    </row>
    <row r="2" spans="1:68" ht="15.75" thickBot="1" x14ac:dyDescent="0.3">
      <c r="A2" s="145"/>
      <c r="B2" s="193" t="s">
        <v>269</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row>
    <row r="3" spans="1:68" ht="15" customHeight="1" x14ac:dyDescent="0.25">
      <c r="A3" s="145"/>
      <c r="B3" s="192"/>
      <c r="C3" s="145"/>
      <c r="D3" s="145"/>
      <c r="E3" s="208">
        <f>E18</f>
        <v>2024</v>
      </c>
      <c r="F3" s="946" t="s">
        <v>211</v>
      </c>
      <c r="G3" s="187">
        <f>E3</f>
        <v>2024</v>
      </c>
      <c r="H3" s="189">
        <f>G3+1</f>
        <v>2025</v>
      </c>
      <c r="I3" s="946" t="s">
        <v>211</v>
      </c>
      <c r="J3" s="191">
        <f>H3</f>
        <v>2025</v>
      </c>
      <c r="K3" s="189">
        <f>J3+1</f>
        <v>2026</v>
      </c>
      <c r="L3" s="946" t="s">
        <v>211</v>
      </c>
      <c r="M3" s="191">
        <f>K3</f>
        <v>2026</v>
      </c>
      <c r="N3" s="189">
        <f>M3+1</f>
        <v>2027</v>
      </c>
      <c r="O3" s="946" t="s">
        <v>211</v>
      </c>
      <c r="P3" s="191">
        <f>N3</f>
        <v>2027</v>
      </c>
      <c r="Q3" s="189">
        <f>P3+1</f>
        <v>2028</v>
      </c>
      <c r="R3" s="1010" t="s">
        <v>211</v>
      </c>
      <c r="S3" s="191">
        <f>Q3</f>
        <v>2028</v>
      </c>
      <c r="T3" s="189">
        <f>S3+1</f>
        <v>2029</v>
      </c>
      <c r="U3" s="946" t="s">
        <v>211</v>
      </c>
      <c r="V3" s="191">
        <f>T3</f>
        <v>2029</v>
      </c>
      <c r="W3" s="189">
        <f>V3+1</f>
        <v>2030</v>
      </c>
      <c r="X3" s="946" t="s">
        <v>211</v>
      </c>
      <c r="Y3" s="191">
        <f>W3</f>
        <v>2030</v>
      </c>
      <c r="Z3" s="189">
        <f>Y3+1</f>
        <v>2031</v>
      </c>
      <c r="AA3" s="946" t="s">
        <v>211</v>
      </c>
      <c r="AB3" s="191">
        <f>Z3</f>
        <v>2031</v>
      </c>
      <c r="AC3" s="189">
        <f>AB3+1</f>
        <v>2032</v>
      </c>
      <c r="AD3" s="946" t="s">
        <v>211</v>
      </c>
      <c r="AE3" s="191">
        <f>AC3</f>
        <v>2032</v>
      </c>
      <c r="AF3" s="189">
        <f>AE3+1</f>
        <v>2033</v>
      </c>
      <c r="AG3" s="946" t="s">
        <v>211</v>
      </c>
    </row>
    <row r="4" spans="1:68" ht="18.75" customHeight="1" x14ac:dyDescent="0.25">
      <c r="A4" s="145"/>
      <c r="B4" s="145"/>
      <c r="C4" s="48"/>
      <c r="D4" s="48"/>
      <c r="E4" s="950" t="s">
        <v>220</v>
      </c>
      <c r="F4" s="947"/>
      <c r="G4" s="948" t="s">
        <v>219</v>
      </c>
      <c r="H4" s="956" t="s">
        <v>220</v>
      </c>
      <c r="I4" s="947"/>
      <c r="J4" s="948" t="s">
        <v>219</v>
      </c>
      <c r="K4" s="956" t="s">
        <v>220</v>
      </c>
      <c r="L4" s="947"/>
      <c r="M4" s="948" t="s">
        <v>219</v>
      </c>
      <c r="N4" s="956" t="s">
        <v>220</v>
      </c>
      <c r="O4" s="947"/>
      <c r="P4" s="948" t="s">
        <v>219</v>
      </c>
      <c r="Q4" s="956" t="s">
        <v>220</v>
      </c>
      <c r="R4" s="1011"/>
      <c r="S4" s="948" t="s">
        <v>219</v>
      </c>
      <c r="T4" s="956" t="s">
        <v>220</v>
      </c>
      <c r="U4" s="947"/>
      <c r="V4" s="948" t="s">
        <v>219</v>
      </c>
      <c r="W4" s="956" t="s">
        <v>220</v>
      </c>
      <c r="X4" s="947"/>
      <c r="Y4" s="948" t="s">
        <v>219</v>
      </c>
      <c r="Z4" s="956" t="s">
        <v>220</v>
      </c>
      <c r="AA4" s="947"/>
      <c r="AB4" s="948" t="s">
        <v>219</v>
      </c>
      <c r="AC4" s="956" t="s">
        <v>220</v>
      </c>
      <c r="AD4" s="947"/>
      <c r="AE4" s="948" t="s">
        <v>219</v>
      </c>
      <c r="AF4" s="950" t="s">
        <v>220</v>
      </c>
      <c r="AG4" s="947"/>
    </row>
    <row r="5" spans="1:68" ht="11.25" customHeight="1" x14ac:dyDescent="0.25">
      <c r="A5" s="145"/>
      <c r="B5" s="145"/>
      <c r="C5" s="48"/>
      <c r="D5" s="48"/>
      <c r="E5" s="951"/>
      <c r="F5" s="207" t="str">
        <f>CONCATENATE("roce ",E3+1)</f>
        <v>roce 2025</v>
      </c>
      <c r="G5" s="949"/>
      <c r="H5" s="957"/>
      <c r="I5" s="207" t="str">
        <f>CONCATENATE("roce ",H3+1)</f>
        <v>roce 2026</v>
      </c>
      <c r="J5" s="949"/>
      <c r="K5" s="957"/>
      <c r="L5" s="207" t="str">
        <f>CONCATENATE("roce ",K3+1)</f>
        <v>roce 2027</v>
      </c>
      <c r="M5" s="949"/>
      <c r="N5" s="957"/>
      <c r="O5" s="207" t="str">
        <f>CONCATENATE("roce ",N3+1)</f>
        <v>roce 2028</v>
      </c>
      <c r="P5" s="949"/>
      <c r="Q5" s="957"/>
      <c r="R5" s="207" t="str">
        <f>CONCATENATE("roce ",Q3+1)</f>
        <v>roce 2029</v>
      </c>
      <c r="S5" s="949"/>
      <c r="T5" s="957"/>
      <c r="U5" s="207" t="str">
        <f>CONCATENATE("roce ",T3+1)</f>
        <v>roce 2030</v>
      </c>
      <c r="V5" s="949"/>
      <c r="W5" s="957"/>
      <c r="X5" s="207" t="str">
        <f>CONCATENATE("roce ",W3+1)</f>
        <v>roce 2031</v>
      </c>
      <c r="Y5" s="949"/>
      <c r="Z5" s="957"/>
      <c r="AA5" s="207" t="str">
        <f>CONCATENATE("roce ",Z3+1)</f>
        <v>roce 2032</v>
      </c>
      <c r="AB5" s="949"/>
      <c r="AC5" s="957"/>
      <c r="AD5" s="207" t="str">
        <f>CONCATENATE("roce ",AC3+1)</f>
        <v>roce 2033</v>
      </c>
      <c r="AE5" s="949"/>
      <c r="AF5" s="951"/>
      <c r="AG5" s="207" t="str">
        <f>CONCATENATE("roce ",AF3+1)</f>
        <v>roce 2034</v>
      </c>
    </row>
    <row r="6" spans="1:68" x14ac:dyDescent="0.25">
      <c r="A6" s="145"/>
      <c r="B6" s="1008" t="s">
        <v>119</v>
      </c>
      <c r="C6" s="1009"/>
      <c r="D6" s="185"/>
      <c r="E6" s="209">
        <v>0.02</v>
      </c>
      <c r="F6" s="450">
        <f>E6*2</f>
        <v>0.04</v>
      </c>
      <c r="G6" s="188">
        <v>0</v>
      </c>
      <c r="H6" s="190">
        <v>0</v>
      </c>
      <c r="I6" s="450">
        <f>F6-E6+G6+(H6*2)</f>
        <v>0.02</v>
      </c>
      <c r="J6" s="188">
        <v>0</v>
      </c>
      <c r="K6" s="190">
        <v>0</v>
      </c>
      <c r="L6" s="450">
        <f>I6-H6+J6+(K6*2)</f>
        <v>0.02</v>
      </c>
      <c r="M6" s="188">
        <v>0</v>
      </c>
      <c r="N6" s="190">
        <v>0</v>
      </c>
      <c r="O6" s="450">
        <f>L6-K6+M6+(N6*2)</f>
        <v>0.02</v>
      </c>
      <c r="P6" s="188">
        <v>0</v>
      </c>
      <c r="Q6" s="190">
        <v>0</v>
      </c>
      <c r="R6" s="450">
        <f>O6-N6+P6+(Q6*2)</f>
        <v>0.02</v>
      </c>
      <c r="S6" s="188">
        <v>0</v>
      </c>
      <c r="T6" s="190">
        <v>0</v>
      </c>
      <c r="U6" s="450">
        <f>R6-Q6+S6+(T6*2)</f>
        <v>0.02</v>
      </c>
      <c r="V6" s="188">
        <v>0</v>
      </c>
      <c r="W6" s="190">
        <v>0</v>
      </c>
      <c r="X6" s="450">
        <f>U6-T6+V6+(W6*2)</f>
        <v>0.02</v>
      </c>
      <c r="Y6" s="188">
        <v>0</v>
      </c>
      <c r="Z6" s="190">
        <v>0</v>
      </c>
      <c r="AA6" s="450">
        <f>X6-W6+Y6+(Z6*2)</f>
        <v>0.02</v>
      </c>
      <c r="AB6" s="188">
        <v>0</v>
      </c>
      <c r="AC6" s="190">
        <v>0</v>
      </c>
      <c r="AD6" s="450">
        <f>AA6-Z6+AB6+(AC6*2)</f>
        <v>0.02</v>
      </c>
      <c r="AE6" s="188">
        <v>0</v>
      </c>
      <c r="AF6" s="190">
        <v>0</v>
      </c>
      <c r="AG6" s="450">
        <f>AD6-AC6+AE6+(AF6*2)</f>
        <v>0.02</v>
      </c>
    </row>
    <row r="7" spans="1:68" x14ac:dyDescent="0.25">
      <c r="A7" s="145"/>
      <c r="B7" s="1008" t="s">
        <v>118</v>
      </c>
      <c r="C7" s="1009"/>
      <c r="D7" s="185"/>
      <c r="E7" s="209">
        <v>0.02</v>
      </c>
      <c r="F7" s="450">
        <f t="shared" ref="F7:F14" si="0">E7*2</f>
        <v>0.04</v>
      </c>
      <c r="G7" s="188">
        <v>0</v>
      </c>
      <c r="H7" s="190">
        <v>0</v>
      </c>
      <c r="I7" s="450">
        <f t="shared" ref="I7:I14" si="1">F7-E7+G7+(H7*2)</f>
        <v>0.02</v>
      </c>
      <c r="J7" s="188">
        <v>0</v>
      </c>
      <c r="K7" s="190">
        <v>0</v>
      </c>
      <c r="L7" s="450">
        <f t="shared" ref="L7:L14" si="2">I7-H7+J7+(K7*2)</f>
        <v>0.02</v>
      </c>
      <c r="M7" s="188">
        <v>0</v>
      </c>
      <c r="N7" s="190">
        <v>0</v>
      </c>
      <c r="O7" s="450">
        <f t="shared" ref="O7:O14" si="3">L7-K7+M7+(N7*2)</f>
        <v>0.02</v>
      </c>
      <c r="P7" s="188">
        <v>0</v>
      </c>
      <c r="Q7" s="190">
        <v>0</v>
      </c>
      <c r="R7" s="450">
        <f t="shared" ref="R7:R14" si="4">O7-N7+P7+(Q7*2)</f>
        <v>0.02</v>
      </c>
      <c r="S7" s="188">
        <v>0</v>
      </c>
      <c r="T7" s="190">
        <v>0</v>
      </c>
      <c r="U7" s="450">
        <f t="shared" ref="U7:U14" si="5">R7-Q7+S7+(T7*2)</f>
        <v>0.02</v>
      </c>
      <c r="V7" s="188">
        <v>0</v>
      </c>
      <c r="W7" s="190">
        <v>0</v>
      </c>
      <c r="X7" s="450">
        <f t="shared" ref="X7:X14" si="6">U7-T7+V7+(W7*2)</f>
        <v>0.02</v>
      </c>
      <c r="Y7" s="188">
        <v>0</v>
      </c>
      <c r="Z7" s="190">
        <v>0</v>
      </c>
      <c r="AA7" s="450">
        <f t="shared" ref="AA7:AA14" si="7">X7-W7+Y7+(Z7*2)</f>
        <v>0.02</v>
      </c>
      <c r="AB7" s="188">
        <v>0</v>
      </c>
      <c r="AC7" s="190">
        <v>0</v>
      </c>
      <c r="AD7" s="450">
        <f t="shared" ref="AD7:AD14" si="8">AA7-Z7+AB7+(AC7*2)</f>
        <v>0.02</v>
      </c>
      <c r="AE7" s="188">
        <v>0</v>
      </c>
      <c r="AF7" s="190">
        <v>0</v>
      </c>
      <c r="AG7" s="450">
        <f t="shared" ref="AG7:AG14" si="9">AD7-AC7+AE7+(AF7*2)</f>
        <v>0.02</v>
      </c>
      <c r="AH7" s="309"/>
      <c r="AI7" s="309"/>
      <c r="AJ7" s="309"/>
    </row>
    <row r="8" spans="1:68" x14ac:dyDescent="0.25">
      <c r="A8" s="145"/>
      <c r="B8" s="1008" t="s">
        <v>132</v>
      </c>
      <c r="C8" s="1009"/>
      <c r="D8" s="185"/>
      <c r="E8" s="209">
        <v>0.02</v>
      </c>
      <c r="F8" s="450">
        <f t="shared" si="0"/>
        <v>0.04</v>
      </c>
      <c r="G8" s="188">
        <v>0</v>
      </c>
      <c r="H8" s="190">
        <v>0</v>
      </c>
      <c r="I8" s="450">
        <f t="shared" si="1"/>
        <v>0.02</v>
      </c>
      <c r="J8" s="188">
        <v>0</v>
      </c>
      <c r="K8" s="190">
        <v>0</v>
      </c>
      <c r="L8" s="450">
        <f t="shared" si="2"/>
        <v>0.02</v>
      </c>
      <c r="M8" s="188">
        <v>0</v>
      </c>
      <c r="N8" s="190">
        <v>0</v>
      </c>
      <c r="O8" s="450">
        <f t="shared" si="3"/>
        <v>0.02</v>
      </c>
      <c r="P8" s="188">
        <v>0</v>
      </c>
      <c r="Q8" s="190">
        <v>0</v>
      </c>
      <c r="R8" s="450">
        <f t="shared" si="4"/>
        <v>0.02</v>
      </c>
      <c r="S8" s="188">
        <v>0</v>
      </c>
      <c r="T8" s="190">
        <v>0</v>
      </c>
      <c r="U8" s="450">
        <f t="shared" si="5"/>
        <v>0.02</v>
      </c>
      <c r="V8" s="188">
        <v>0</v>
      </c>
      <c r="W8" s="190">
        <v>0</v>
      </c>
      <c r="X8" s="450">
        <f t="shared" si="6"/>
        <v>0.02</v>
      </c>
      <c r="Y8" s="188">
        <v>0</v>
      </c>
      <c r="Z8" s="190">
        <v>0</v>
      </c>
      <c r="AA8" s="450">
        <f t="shared" si="7"/>
        <v>0.02</v>
      </c>
      <c r="AB8" s="188">
        <v>0</v>
      </c>
      <c r="AC8" s="190">
        <v>0</v>
      </c>
      <c r="AD8" s="450">
        <f t="shared" si="8"/>
        <v>0.02</v>
      </c>
      <c r="AE8" s="188">
        <v>0</v>
      </c>
      <c r="AF8" s="190">
        <v>0</v>
      </c>
      <c r="AG8" s="450">
        <f t="shared" si="9"/>
        <v>0.02</v>
      </c>
      <c r="AH8" s="309"/>
      <c r="AI8" s="309"/>
      <c r="AJ8" s="309"/>
    </row>
    <row r="9" spans="1:68" x14ac:dyDescent="0.25">
      <c r="A9" s="145"/>
      <c r="B9" s="161" t="s">
        <v>179</v>
      </c>
      <c r="C9" s="162"/>
      <c r="D9" s="185"/>
      <c r="E9" s="495">
        <v>0.02</v>
      </c>
      <c r="F9" s="450">
        <f t="shared" si="0"/>
        <v>0.04</v>
      </c>
      <c r="G9" s="188">
        <v>0</v>
      </c>
      <c r="H9" s="190">
        <v>0</v>
      </c>
      <c r="I9" s="450">
        <f t="shared" si="1"/>
        <v>0.02</v>
      </c>
      <c r="J9" s="188">
        <v>0</v>
      </c>
      <c r="K9" s="190">
        <v>0</v>
      </c>
      <c r="L9" s="450">
        <f t="shared" si="2"/>
        <v>0.02</v>
      </c>
      <c r="M9" s="188">
        <v>0</v>
      </c>
      <c r="N9" s="190">
        <v>0</v>
      </c>
      <c r="O9" s="450">
        <f t="shared" si="3"/>
        <v>0.02</v>
      </c>
      <c r="P9" s="188">
        <v>0</v>
      </c>
      <c r="Q9" s="190">
        <v>0</v>
      </c>
      <c r="R9" s="450">
        <f t="shared" si="4"/>
        <v>0.02</v>
      </c>
      <c r="S9" s="188">
        <v>0</v>
      </c>
      <c r="T9" s="190">
        <v>0</v>
      </c>
      <c r="U9" s="450">
        <f t="shared" si="5"/>
        <v>0.02</v>
      </c>
      <c r="V9" s="188">
        <v>0</v>
      </c>
      <c r="W9" s="190">
        <v>0</v>
      </c>
      <c r="X9" s="450">
        <f t="shared" si="6"/>
        <v>0.02</v>
      </c>
      <c r="Y9" s="188">
        <v>0</v>
      </c>
      <c r="Z9" s="190">
        <v>0</v>
      </c>
      <c r="AA9" s="450">
        <f t="shared" si="7"/>
        <v>0.02</v>
      </c>
      <c r="AB9" s="188">
        <v>0</v>
      </c>
      <c r="AC9" s="190">
        <v>0</v>
      </c>
      <c r="AD9" s="450">
        <f t="shared" si="8"/>
        <v>0.02</v>
      </c>
      <c r="AE9" s="188">
        <v>0</v>
      </c>
      <c r="AF9" s="190">
        <v>0</v>
      </c>
      <c r="AG9" s="450">
        <f t="shared" si="9"/>
        <v>0.02</v>
      </c>
      <c r="AH9" s="309"/>
      <c r="AI9" s="309"/>
      <c r="AJ9" s="309"/>
    </row>
    <row r="10" spans="1:68" x14ac:dyDescent="0.25">
      <c r="A10" s="145"/>
      <c r="B10" s="161" t="s">
        <v>122</v>
      </c>
      <c r="C10" s="162"/>
      <c r="D10" s="185"/>
      <c r="E10" s="209">
        <v>0.02</v>
      </c>
      <c r="F10" s="450">
        <f t="shared" si="0"/>
        <v>0.04</v>
      </c>
      <c r="G10" s="188">
        <v>0</v>
      </c>
      <c r="H10" s="190">
        <v>0</v>
      </c>
      <c r="I10" s="450">
        <f t="shared" si="1"/>
        <v>0.02</v>
      </c>
      <c r="J10" s="188">
        <v>0</v>
      </c>
      <c r="K10" s="190">
        <v>0</v>
      </c>
      <c r="L10" s="450">
        <f t="shared" si="2"/>
        <v>0.02</v>
      </c>
      <c r="M10" s="188">
        <v>0</v>
      </c>
      <c r="N10" s="190">
        <v>0</v>
      </c>
      <c r="O10" s="450">
        <f t="shared" si="3"/>
        <v>0.02</v>
      </c>
      <c r="P10" s="188">
        <v>0</v>
      </c>
      <c r="Q10" s="190">
        <v>0</v>
      </c>
      <c r="R10" s="450">
        <f t="shared" si="4"/>
        <v>0.02</v>
      </c>
      <c r="S10" s="188">
        <v>0</v>
      </c>
      <c r="T10" s="190">
        <v>0</v>
      </c>
      <c r="U10" s="450">
        <f t="shared" si="5"/>
        <v>0.02</v>
      </c>
      <c r="V10" s="188">
        <v>0</v>
      </c>
      <c r="W10" s="190">
        <v>0</v>
      </c>
      <c r="X10" s="450">
        <f t="shared" si="6"/>
        <v>0.02</v>
      </c>
      <c r="Y10" s="188">
        <v>0</v>
      </c>
      <c r="Z10" s="190">
        <v>0</v>
      </c>
      <c r="AA10" s="450">
        <f t="shared" si="7"/>
        <v>0.02</v>
      </c>
      <c r="AB10" s="188">
        <v>0</v>
      </c>
      <c r="AC10" s="190">
        <v>0</v>
      </c>
      <c r="AD10" s="450">
        <f t="shared" si="8"/>
        <v>0.02</v>
      </c>
      <c r="AE10" s="188">
        <v>0</v>
      </c>
      <c r="AF10" s="190">
        <v>0</v>
      </c>
      <c r="AG10" s="450">
        <f t="shared" si="9"/>
        <v>0.02</v>
      </c>
      <c r="AH10" s="309"/>
      <c r="AI10" s="309"/>
      <c r="AJ10" s="309"/>
    </row>
    <row r="11" spans="1:68" x14ac:dyDescent="0.25">
      <c r="A11" s="145"/>
      <c r="B11" s="159" t="s">
        <v>145</v>
      </c>
      <c r="C11" s="160"/>
      <c r="D11" s="160"/>
      <c r="E11" s="209">
        <v>0.02</v>
      </c>
      <c r="F11" s="450">
        <f t="shared" si="0"/>
        <v>0.04</v>
      </c>
      <c r="G11" s="188">
        <v>0</v>
      </c>
      <c r="H11" s="190">
        <v>0</v>
      </c>
      <c r="I11" s="450">
        <f t="shared" si="1"/>
        <v>0.02</v>
      </c>
      <c r="J11" s="188">
        <v>0</v>
      </c>
      <c r="K11" s="190">
        <v>0</v>
      </c>
      <c r="L11" s="450">
        <f t="shared" si="2"/>
        <v>0.02</v>
      </c>
      <c r="M11" s="188">
        <v>0</v>
      </c>
      <c r="N11" s="190">
        <v>0</v>
      </c>
      <c r="O11" s="450">
        <f t="shared" si="3"/>
        <v>0.02</v>
      </c>
      <c r="P11" s="188">
        <v>0</v>
      </c>
      <c r="Q11" s="190">
        <v>0</v>
      </c>
      <c r="R11" s="450">
        <f t="shared" si="4"/>
        <v>0.02</v>
      </c>
      <c r="S11" s="188">
        <v>0</v>
      </c>
      <c r="T11" s="190">
        <v>0</v>
      </c>
      <c r="U11" s="450">
        <f t="shared" si="5"/>
        <v>0.02</v>
      </c>
      <c r="V11" s="188">
        <v>0</v>
      </c>
      <c r="W11" s="190">
        <v>0</v>
      </c>
      <c r="X11" s="450">
        <f t="shared" si="6"/>
        <v>0.02</v>
      </c>
      <c r="Y11" s="188">
        <v>0</v>
      </c>
      <c r="Z11" s="190">
        <v>0</v>
      </c>
      <c r="AA11" s="450">
        <f t="shared" si="7"/>
        <v>0.02</v>
      </c>
      <c r="AB11" s="188">
        <v>0</v>
      </c>
      <c r="AC11" s="190">
        <v>0</v>
      </c>
      <c r="AD11" s="450">
        <f t="shared" si="8"/>
        <v>0.02</v>
      </c>
      <c r="AE11" s="188">
        <v>0</v>
      </c>
      <c r="AF11" s="190">
        <v>0</v>
      </c>
      <c r="AG11" s="450">
        <f t="shared" si="9"/>
        <v>0.02</v>
      </c>
      <c r="AH11" s="309"/>
      <c r="AI11" s="309"/>
      <c r="AJ11" s="309"/>
    </row>
    <row r="12" spans="1:68" hidden="1" x14ac:dyDescent="0.25">
      <c r="A12" s="145"/>
      <c r="B12" s="440"/>
      <c r="C12" s="441"/>
      <c r="D12" s="442"/>
      <c r="E12" s="209"/>
      <c r="F12" s="450"/>
      <c r="G12" s="188"/>
      <c r="H12" s="190"/>
      <c r="I12" s="450"/>
      <c r="J12" s="188"/>
      <c r="K12" s="190"/>
      <c r="L12" s="450"/>
      <c r="M12" s="188"/>
      <c r="N12" s="190"/>
      <c r="O12" s="450"/>
      <c r="P12" s="188"/>
      <c r="Q12" s="190"/>
      <c r="R12" s="450"/>
      <c r="S12" s="188"/>
      <c r="T12" s="190"/>
      <c r="U12" s="450"/>
      <c r="V12" s="188"/>
      <c r="W12" s="190"/>
      <c r="X12" s="450"/>
      <c r="Y12" s="188"/>
      <c r="Z12" s="190"/>
      <c r="AA12" s="450"/>
      <c r="AB12" s="188"/>
      <c r="AC12" s="190"/>
      <c r="AD12" s="450"/>
      <c r="AE12" s="188"/>
      <c r="AF12" s="190"/>
      <c r="AG12" s="450"/>
      <c r="AH12" s="309"/>
      <c r="AI12" s="309"/>
      <c r="AJ12" s="309"/>
    </row>
    <row r="13" spans="1:68" x14ac:dyDescent="0.25">
      <c r="A13" s="145"/>
      <c r="B13" s="161" t="s">
        <v>121</v>
      </c>
      <c r="C13" s="162"/>
      <c r="D13" s="186"/>
      <c r="E13" s="452">
        <f>IF((E10+0.01)&gt;E9,E9,E10+0.01)</f>
        <v>0.02</v>
      </c>
      <c r="F13" s="450">
        <f t="shared" si="0"/>
        <v>0.04</v>
      </c>
      <c r="G13" s="453">
        <f>IF((G10+0.01)&gt;G9,G9,G10+0.01)</f>
        <v>0</v>
      </c>
      <c r="H13" s="454">
        <f>IF((H10+0.01)&gt;H9,H9,H10+0.01)</f>
        <v>0</v>
      </c>
      <c r="I13" s="450">
        <f t="shared" si="1"/>
        <v>0.02</v>
      </c>
      <c r="J13" s="453">
        <f>IF((J10+0.01)&gt;J9,J9,J10+0.01)</f>
        <v>0</v>
      </c>
      <c r="K13" s="454">
        <f>IF((K10+0.01)&gt;K9,K9,K10+0.01)</f>
        <v>0</v>
      </c>
      <c r="L13" s="450">
        <f t="shared" si="2"/>
        <v>0.02</v>
      </c>
      <c r="M13" s="453">
        <f>IF((M10+0.01)&gt;M9,M9,M10+0.01)</f>
        <v>0</v>
      </c>
      <c r="N13" s="454">
        <f>IF((N10+0.01)&gt;N9,N9,N10+0.01)</f>
        <v>0</v>
      </c>
      <c r="O13" s="450">
        <f t="shared" si="3"/>
        <v>0.02</v>
      </c>
      <c r="P13" s="453">
        <f>IF((P10+0.01)&gt;P9,P9,P10+0.01)</f>
        <v>0</v>
      </c>
      <c r="Q13" s="454">
        <f>IF((Q10+0.01)&gt;Q9,Q9,Q10+0.01)</f>
        <v>0</v>
      </c>
      <c r="R13" s="450">
        <f>O13-N13+P13+(Q13*2)</f>
        <v>0.02</v>
      </c>
      <c r="S13" s="453">
        <f>IF((S10+0.01)&gt;S9,S9,S10+0.01)</f>
        <v>0</v>
      </c>
      <c r="T13" s="454">
        <f>IF((T10+0.01)&gt;T9,T9,T10+0.01)</f>
        <v>0</v>
      </c>
      <c r="U13" s="450">
        <f t="shared" si="5"/>
        <v>0.02</v>
      </c>
      <c r="V13" s="453">
        <f>IF((V10+0.01)&gt;V9,V9,V10+0.01)</f>
        <v>0</v>
      </c>
      <c r="W13" s="454">
        <f>IF((W10+0.01)&gt;W9,W9,W10+0.01)</f>
        <v>0</v>
      </c>
      <c r="X13" s="450">
        <f t="shared" si="6"/>
        <v>0.02</v>
      </c>
      <c r="Y13" s="453">
        <f>IF((Y10+0.01)&gt;Y9,Y9,Y10+0.01)</f>
        <v>0</v>
      </c>
      <c r="Z13" s="454">
        <f>IF((Z10+0.01)&gt;Z9,Z9,Z10+0.01)</f>
        <v>0</v>
      </c>
      <c r="AA13" s="450">
        <f t="shared" si="7"/>
        <v>0.02</v>
      </c>
      <c r="AB13" s="453">
        <f>IF((AB10+0.01)&gt;AB9,AB9,AB10+0.01)</f>
        <v>0</v>
      </c>
      <c r="AC13" s="454">
        <f>IF((AC10+0.01)&gt;AC9,AC9,AC10+0.01)</f>
        <v>0</v>
      </c>
      <c r="AD13" s="450">
        <f t="shared" si="8"/>
        <v>0.02</v>
      </c>
      <c r="AE13" s="453">
        <f>IF((AE10+0.01)&gt;AE9,AE9,AE10+0.01)</f>
        <v>0</v>
      </c>
      <c r="AF13" s="454">
        <f>IF((AF10+0.01)&gt;AF9,AF9,AF10+0.01)</f>
        <v>0</v>
      </c>
      <c r="AG13" s="450">
        <f t="shared" si="9"/>
        <v>0.02</v>
      </c>
      <c r="AH13" s="309"/>
      <c r="AI13" s="309"/>
      <c r="AJ13" s="309"/>
    </row>
    <row r="14" spans="1:68" ht="15.75" thickBot="1" x14ac:dyDescent="0.3">
      <c r="A14" s="145"/>
      <c r="B14" s="1008" t="s">
        <v>120</v>
      </c>
      <c r="C14" s="1009"/>
      <c r="D14" s="185"/>
      <c r="E14" s="496">
        <v>0.02</v>
      </c>
      <c r="F14" s="451">
        <f t="shared" si="0"/>
        <v>0.04</v>
      </c>
      <c r="G14" s="188">
        <v>0</v>
      </c>
      <c r="H14" s="190">
        <v>0</v>
      </c>
      <c r="I14" s="451">
        <f t="shared" si="1"/>
        <v>0.02</v>
      </c>
      <c r="J14" s="188">
        <v>0</v>
      </c>
      <c r="K14" s="190">
        <v>0</v>
      </c>
      <c r="L14" s="451">
        <f t="shared" si="2"/>
        <v>0.02</v>
      </c>
      <c r="M14" s="188">
        <v>0</v>
      </c>
      <c r="N14" s="190">
        <v>0</v>
      </c>
      <c r="O14" s="451">
        <f t="shared" si="3"/>
        <v>0.02</v>
      </c>
      <c r="P14" s="188">
        <v>0</v>
      </c>
      <c r="Q14" s="190">
        <v>0</v>
      </c>
      <c r="R14" s="451">
        <f t="shared" si="4"/>
        <v>0.02</v>
      </c>
      <c r="S14" s="188">
        <v>0</v>
      </c>
      <c r="T14" s="190">
        <v>0</v>
      </c>
      <c r="U14" s="451">
        <f t="shared" si="5"/>
        <v>0.02</v>
      </c>
      <c r="V14" s="188">
        <v>0</v>
      </c>
      <c r="W14" s="190">
        <v>0</v>
      </c>
      <c r="X14" s="451">
        <f t="shared" si="6"/>
        <v>0.02</v>
      </c>
      <c r="Y14" s="188">
        <v>0</v>
      </c>
      <c r="Z14" s="190">
        <v>0</v>
      </c>
      <c r="AA14" s="451">
        <f t="shared" si="7"/>
        <v>0.02</v>
      </c>
      <c r="AB14" s="188">
        <v>0</v>
      </c>
      <c r="AC14" s="190">
        <v>0</v>
      </c>
      <c r="AD14" s="451">
        <f t="shared" si="8"/>
        <v>0.02</v>
      </c>
      <c r="AE14" s="188">
        <v>0</v>
      </c>
      <c r="AF14" s="190">
        <v>0</v>
      </c>
      <c r="AG14" s="451">
        <f t="shared" si="9"/>
        <v>0.02</v>
      </c>
      <c r="AH14" s="309"/>
      <c r="AI14" s="309"/>
      <c r="AJ14" s="309"/>
      <c r="AV14" s="29"/>
    </row>
    <row r="15" spans="1:68" ht="15.75" thickBot="1" x14ac:dyDescent="0.3">
      <c r="A15" s="145"/>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row>
    <row r="16" spans="1:68" x14ac:dyDescent="0.25">
      <c r="A16" s="145"/>
      <c r="B16" s="971" t="s">
        <v>280</v>
      </c>
      <c r="C16" s="972"/>
      <c r="D16" s="972"/>
      <c r="E16" s="972"/>
      <c r="F16" s="972"/>
      <c r="G16" s="972"/>
      <c r="H16" s="973"/>
      <c r="I16" s="931" t="s">
        <v>212</v>
      </c>
      <c r="J16" s="932"/>
      <c r="K16" s="145"/>
      <c r="L16" s="145"/>
      <c r="M16" s="145"/>
      <c r="N16" s="145"/>
      <c r="Q16" s="931" t="s">
        <v>212</v>
      </c>
      <c r="R16" s="932"/>
      <c r="S16" s="145"/>
      <c r="V16" s="931" t="s">
        <v>212</v>
      </c>
      <c r="W16" s="932"/>
      <c r="X16" s="145"/>
      <c r="AA16" s="931" t="s">
        <v>212</v>
      </c>
      <c r="AB16" s="932"/>
      <c r="AC16" s="145"/>
      <c r="AF16" s="931" t="s">
        <v>212</v>
      </c>
      <c r="AG16" s="932"/>
      <c r="AK16" s="931" t="s">
        <v>212</v>
      </c>
      <c r="AL16" s="932"/>
      <c r="AP16" s="931" t="s">
        <v>212</v>
      </c>
      <c r="AQ16" s="932"/>
      <c r="AU16" s="931" t="s">
        <v>212</v>
      </c>
      <c r="AV16" s="932"/>
      <c r="AZ16" s="931" t="s">
        <v>212</v>
      </c>
      <c r="BA16" s="932"/>
      <c r="BE16" s="931" t="s">
        <v>212</v>
      </c>
      <c r="BF16" s="932"/>
      <c r="BJ16" s="931" t="s">
        <v>212</v>
      </c>
      <c r="BK16" s="932"/>
      <c r="BL16" s="252"/>
      <c r="BM16" s="252"/>
      <c r="BN16" s="252"/>
      <c r="BO16" s="1018"/>
      <c r="BP16" s="1018"/>
    </row>
    <row r="17" spans="1:68" ht="24.75" customHeight="1" thickBot="1" x14ac:dyDescent="0.3">
      <c r="A17" s="145"/>
      <c r="B17" s="972"/>
      <c r="C17" s="972"/>
      <c r="D17" s="972"/>
      <c r="E17" s="972"/>
      <c r="F17" s="972"/>
      <c r="G17" s="972"/>
      <c r="H17" s="973"/>
      <c r="I17" s="489" t="s">
        <v>218</v>
      </c>
      <c r="J17" s="490"/>
      <c r="K17" s="145"/>
      <c r="L17" s="145"/>
      <c r="M17" s="145"/>
      <c r="N17" s="145"/>
      <c r="Q17" s="489" t="s">
        <v>218</v>
      </c>
      <c r="R17" s="490"/>
      <c r="S17" s="145"/>
      <c r="V17" s="489" t="s">
        <v>218</v>
      </c>
      <c r="W17" s="490"/>
      <c r="X17" s="145"/>
      <c r="AA17" s="489" t="s">
        <v>218</v>
      </c>
      <c r="AB17" s="490"/>
      <c r="AC17" s="145"/>
      <c r="AF17" s="489" t="s">
        <v>218</v>
      </c>
      <c r="AG17" s="490"/>
      <c r="AK17" s="489" t="s">
        <v>218</v>
      </c>
      <c r="AL17" s="490"/>
      <c r="AP17" s="489" t="s">
        <v>218</v>
      </c>
      <c r="AQ17" s="490"/>
      <c r="AU17" s="489" t="s">
        <v>218</v>
      </c>
      <c r="AV17" s="490"/>
      <c r="AZ17" s="489" t="s">
        <v>218</v>
      </c>
      <c r="BA17" s="490"/>
      <c r="BE17" s="489" t="s">
        <v>218</v>
      </c>
      <c r="BF17" s="490"/>
      <c r="BJ17" s="489" t="s">
        <v>218</v>
      </c>
      <c r="BK17" s="490"/>
      <c r="BL17" s="252"/>
      <c r="BM17" s="252"/>
      <c r="BN17" s="252"/>
      <c r="BO17" s="322"/>
      <c r="BP17" s="323"/>
    </row>
    <row r="18" spans="1:68" ht="34.5" customHeight="1" x14ac:dyDescent="0.25">
      <c r="A18" s="195"/>
      <c r="B18" s="961" t="s">
        <v>5</v>
      </c>
      <c r="C18" s="961" t="s">
        <v>1</v>
      </c>
      <c r="D18" s="964" t="s">
        <v>133</v>
      </c>
      <c r="E18" s="952">
        <f>Nabídka!D4</f>
        <v>2024</v>
      </c>
      <c r="F18" s="953"/>
      <c r="G18" s="967" t="s">
        <v>144</v>
      </c>
      <c r="H18" s="968"/>
      <c r="I18" s="935" t="s">
        <v>200</v>
      </c>
      <c r="J18" s="936"/>
      <c r="K18" s="981" t="s">
        <v>146</v>
      </c>
      <c r="L18" s="982"/>
      <c r="M18" s="983"/>
      <c r="N18" s="944" t="s">
        <v>198</v>
      </c>
      <c r="O18" s="952">
        <f>E18+1</f>
        <v>2025</v>
      </c>
      <c r="P18" s="953"/>
      <c r="Q18" s="935" t="s">
        <v>200</v>
      </c>
      <c r="R18" s="936"/>
      <c r="S18" s="958" t="s">
        <v>198</v>
      </c>
      <c r="T18" s="952">
        <f>O18+1</f>
        <v>2026</v>
      </c>
      <c r="U18" s="953"/>
      <c r="V18" s="935" t="s">
        <v>200</v>
      </c>
      <c r="W18" s="936"/>
      <c r="X18" s="958" t="s">
        <v>198</v>
      </c>
      <c r="Y18" s="952">
        <f>T18+1</f>
        <v>2027</v>
      </c>
      <c r="Z18" s="953"/>
      <c r="AA18" s="935" t="s">
        <v>200</v>
      </c>
      <c r="AB18" s="936"/>
      <c r="AC18" s="958" t="s">
        <v>198</v>
      </c>
      <c r="AD18" s="952">
        <f>Y18+1</f>
        <v>2028</v>
      </c>
      <c r="AE18" s="953"/>
      <c r="AF18" s="935" t="s">
        <v>200</v>
      </c>
      <c r="AG18" s="936"/>
      <c r="AH18" s="1003" t="s">
        <v>198</v>
      </c>
      <c r="AI18" s="1005">
        <f>AD18+1</f>
        <v>2029</v>
      </c>
      <c r="AJ18" s="1006"/>
      <c r="AK18" s="935" t="s">
        <v>200</v>
      </c>
      <c r="AL18" s="936"/>
      <c r="AM18" s="1003" t="s">
        <v>198</v>
      </c>
      <c r="AN18" s="952">
        <f>AI18+1</f>
        <v>2030</v>
      </c>
      <c r="AO18" s="953"/>
      <c r="AP18" s="935" t="s">
        <v>200</v>
      </c>
      <c r="AQ18" s="936"/>
      <c r="AR18" s="1019" t="s">
        <v>198</v>
      </c>
      <c r="AS18" s="952">
        <f>AN18+1</f>
        <v>2031</v>
      </c>
      <c r="AT18" s="953"/>
      <c r="AU18" s="935" t="s">
        <v>200</v>
      </c>
      <c r="AV18" s="936"/>
      <c r="AW18" s="1019" t="s">
        <v>198</v>
      </c>
      <c r="AX18" s="952">
        <f>AS18+1</f>
        <v>2032</v>
      </c>
      <c r="AY18" s="953"/>
      <c r="AZ18" s="935" t="s">
        <v>200</v>
      </c>
      <c r="BA18" s="936"/>
      <c r="BB18" s="1019" t="s">
        <v>198</v>
      </c>
      <c r="BC18" s="952">
        <f>AX18+1</f>
        <v>2033</v>
      </c>
      <c r="BD18" s="953"/>
      <c r="BE18" s="935" t="s">
        <v>200</v>
      </c>
      <c r="BF18" s="936"/>
      <c r="BG18" s="1019" t="s">
        <v>198</v>
      </c>
      <c r="BH18" s="952">
        <f>BC18+1</f>
        <v>2034</v>
      </c>
      <c r="BI18" s="953"/>
      <c r="BJ18" s="935" t="s">
        <v>200</v>
      </c>
      <c r="BK18" s="936"/>
      <c r="BL18" s="1023" t="s">
        <v>177</v>
      </c>
      <c r="BM18" s="968"/>
      <c r="BN18" s="326"/>
      <c r="BO18" s="327"/>
      <c r="BP18" s="327"/>
    </row>
    <row r="19" spans="1:68" ht="15.75" customHeight="1" x14ac:dyDescent="0.25">
      <c r="A19" s="195"/>
      <c r="B19" s="962"/>
      <c r="C19" s="962"/>
      <c r="D19" s="965"/>
      <c r="E19" s="954"/>
      <c r="F19" s="955"/>
      <c r="G19" s="969"/>
      <c r="H19" s="970"/>
      <c r="I19" s="937">
        <f>E18</f>
        <v>2024</v>
      </c>
      <c r="J19" s="938"/>
      <c r="K19" s="984"/>
      <c r="L19" s="985"/>
      <c r="M19" s="986"/>
      <c r="N19" s="945"/>
      <c r="O19" s="954"/>
      <c r="P19" s="955"/>
      <c r="Q19" s="937">
        <f>O18</f>
        <v>2025</v>
      </c>
      <c r="R19" s="938"/>
      <c r="S19" s="959"/>
      <c r="T19" s="954"/>
      <c r="U19" s="955"/>
      <c r="V19" s="937">
        <f>T18</f>
        <v>2026</v>
      </c>
      <c r="W19" s="938"/>
      <c r="X19" s="959"/>
      <c r="Y19" s="954"/>
      <c r="Z19" s="955"/>
      <c r="AA19" s="937">
        <f>Y18</f>
        <v>2027</v>
      </c>
      <c r="AB19" s="938"/>
      <c r="AC19" s="959"/>
      <c r="AD19" s="954"/>
      <c r="AE19" s="955"/>
      <c r="AF19" s="937">
        <f>AD18</f>
        <v>2028</v>
      </c>
      <c r="AG19" s="938"/>
      <c r="AH19" s="1004"/>
      <c r="AI19" s="987"/>
      <c r="AJ19" s="1007"/>
      <c r="AK19" s="937">
        <f>AI18</f>
        <v>2029</v>
      </c>
      <c r="AL19" s="938"/>
      <c r="AM19" s="1004"/>
      <c r="AN19" s="954"/>
      <c r="AO19" s="955"/>
      <c r="AP19" s="937">
        <f>AN18</f>
        <v>2030</v>
      </c>
      <c r="AQ19" s="938"/>
      <c r="AR19" s="1020"/>
      <c r="AS19" s="954"/>
      <c r="AT19" s="955"/>
      <c r="AU19" s="937">
        <f>AS18</f>
        <v>2031</v>
      </c>
      <c r="AV19" s="938"/>
      <c r="AW19" s="1020"/>
      <c r="AX19" s="954"/>
      <c r="AY19" s="955"/>
      <c r="AZ19" s="937">
        <f>AX18</f>
        <v>2032</v>
      </c>
      <c r="BA19" s="938"/>
      <c r="BB19" s="1020"/>
      <c r="BC19" s="1021"/>
      <c r="BD19" s="1022"/>
      <c r="BE19" s="937">
        <f>BC18</f>
        <v>2033</v>
      </c>
      <c r="BF19" s="938"/>
      <c r="BG19" s="1020"/>
      <c r="BH19" s="1021"/>
      <c r="BI19" s="1022"/>
      <c r="BJ19" s="937">
        <f>BH18</f>
        <v>2034</v>
      </c>
      <c r="BK19" s="938"/>
      <c r="BL19" s="1024">
        <f>Postup!J25</f>
        <v>2025</v>
      </c>
      <c r="BM19" s="955"/>
      <c r="BN19" s="326"/>
      <c r="BO19" s="327"/>
      <c r="BP19" s="327"/>
    </row>
    <row r="20" spans="1:68" ht="21.75" customHeight="1" x14ac:dyDescent="0.25">
      <c r="A20" s="195"/>
      <c r="B20" s="962"/>
      <c r="C20" s="962"/>
      <c r="D20" s="965"/>
      <c r="E20" s="183" t="s">
        <v>3</v>
      </c>
      <c r="F20" s="184" t="s">
        <v>4</v>
      </c>
      <c r="G20" s="183" t="s">
        <v>3</v>
      </c>
      <c r="H20" s="184" t="s">
        <v>4</v>
      </c>
      <c r="I20" s="183" t="s">
        <v>3</v>
      </c>
      <c r="J20" s="184" t="s">
        <v>4</v>
      </c>
      <c r="K20" s="984"/>
      <c r="L20" s="985"/>
      <c r="M20" s="986"/>
      <c r="N20" s="945"/>
      <c r="O20" s="183" t="s">
        <v>3</v>
      </c>
      <c r="P20" s="184" t="s">
        <v>4</v>
      </c>
      <c r="Q20" s="183" t="s">
        <v>3</v>
      </c>
      <c r="R20" s="184" t="s">
        <v>4</v>
      </c>
      <c r="S20" s="959"/>
      <c r="T20" s="183" t="s">
        <v>3</v>
      </c>
      <c r="U20" s="184" t="s">
        <v>4</v>
      </c>
      <c r="V20" s="183" t="s">
        <v>3</v>
      </c>
      <c r="W20" s="184" t="s">
        <v>4</v>
      </c>
      <c r="X20" s="959"/>
      <c r="Y20" s="183" t="s">
        <v>3</v>
      </c>
      <c r="Z20" s="184" t="s">
        <v>4</v>
      </c>
      <c r="AA20" s="183" t="s">
        <v>3</v>
      </c>
      <c r="AB20" s="184" t="s">
        <v>4</v>
      </c>
      <c r="AC20" s="959"/>
      <c r="AD20" s="183" t="s">
        <v>3</v>
      </c>
      <c r="AE20" s="184" t="s">
        <v>4</v>
      </c>
      <c r="AF20" s="183" t="s">
        <v>3</v>
      </c>
      <c r="AG20" s="184" t="s">
        <v>4</v>
      </c>
      <c r="AH20" s="1004"/>
      <c r="AI20" s="183" t="s">
        <v>3</v>
      </c>
      <c r="AJ20" s="184" t="s">
        <v>4</v>
      </c>
      <c r="AK20" s="183" t="s">
        <v>3</v>
      </c>
      <c r="AL20" s="184" t="s">
        <v>4</v>
      </c>
      <c r="AM20" s="1004"/>
      <c r="AN20" s="183" t="s">
        <v>3</v>
      </c>
      <c r="AO20" s="184" t="s">
        <v>4</v>
      </c>
      <c r="AP20" s="183" t="s">
        <v>3</v>
      </c>
      <c r="AQ20" s="184" t="s">
        <v>4</v>
      </c>
      <c r="AR20" s="1020"/>
      <c r="AS20" s="183" t="s">
        <v>3</v>
      </c>
      <c r="AT20" s="184" t="s">
        <v>4</v>
      </c>
      <c r="AU20" s="183" t="s">
        <v>3</v>
      </c>
      <c r="AV20" s="184" t="s">
        <v>4</v>
      </c>
      <c r="AW20" s="1020"/>
      <c r="AX20" s="183" t="s">
        <v>3</v>
      </c>
      <c r="AY20" s="184" t="s">
        <v>4</v>
      </c>
      <c r="AZ20" s="183" t="s">
        <v>3</v>
      </c>
      <c r="BA20" s="184" t="s">
        <v>4</v>
      </c>
      <c r="BB20" s="1020"/>
      <c r="BC20" s="183" t="s">
        <v>3</v>
      </c>
      <c r="BD20" s="184" t="s">
        <v>4</v>
      </c>
      <c r="BE20" s="183" t="s">
        <v>3</v>
      </c>
      <c r="BF20" s="184" t="s">
        <v>4</v>
      </c>
      <c r="BG20" s="1020"/>
      <c r="BH20" s="183" t="s">
        <v>3</v>
      </c>
      <c r="BI20" s="184" t="s">
        <v>4</v>
      </c>
      <c r="BJ20" s="183" t="s">
        <v>3</v>
      </c>
      <c r="BK20" s="184" t="s">
        <v>4</v>
      </c>
      <c r="BL20" s="312" t="s">
        <v>3</v>
      </c>
      <c r="BM20" s="184" t="s">
        <v>4</v>
      </c>
      <c r="BN20" s="95"/>
      <c r="BO20" s="95"/>
      <c r="BP20" s="95"/>
    </row>
    <row r="21" spans="1:68" ht="15" customHeight="1" thickBot="1" x14ac:dyDescent="0.3">
      <c r="A21" s="195"/>
      <c r="B21" s="963"/>
      <c r="C21" s="963"/>
      <c r="D21" s="966"/>
      <c r="E21" s="55" t="s">
        <v>98</v>
      </c>
      <c r="F21" s="584" t="s">
        <v>98</v>
      </c>
      <c r="G21" s="99" t="s">
        <v>98</v>
      </c>
      <c r="H21" s="152" t="s">
        <v>98</v>
      </c>
      <c r="I21" s="55" t="s">
        <v>98</v>
      </c>
      <c r="J21" s="56" t="s">
        <v>98</v>
      </c>
      <c r="K21" s="987"/>
      <c r="L21" s="988"/>
      <c r="M21" s="989"/>
      <c r="N21" s="527">
        <f>O18</f>
        <v>2025</v>
      </c>
      <c r="O21" s="55" t="s">
        <v>98</v>
      </c>
      <c r="P21" s="56" t="s">
        <v>98</v>
      </c>
      <c r="Q21" s="55" t="s">
        <v>98</v>
      </c>
      <c r="R21" s="56" t="s">
        <v>98</v>
      </c>
      <c r="S21" s="544">
        <f>T18</f>
        <v>2026</v>
      </c>
      <c r="T21" s="55" t="s">
        <v>98</v>
      </c>
      <c r="U21" s="152" t="s">
        <v>98</v>
      </c>
      <c r="V21" s="55" t="s">
        <v>98</v>
      </c>
      <c r="W21" s="56" t="s">
        <v>98</v>
      </c>
      <c r="X21" s="544">
        <f>Y18</f>
        <v>2027</v>
      </c>
      <c r="Y21" s="55" t="s">
        <v>98</v>
      </c>
      <c r="Z21" s="152" t="s">
        <v>98</v>
      </c>
      <c r="AA21" s="55" t="s">
        <v>98</v>
      </c>
      <c r="AB21" s="56" t="s">
        <v>98</v>
      </c>
      <c r="AC21" s="544">
        <f>AD18</f>
        <v>2028</v>
      </c>
      <c r="AD21" s="55" t="s">
        <v>98</v>
      </c>
      <c r="AE21" s="152" t="s">
        <v>98</v>
      </c>
      <c r="AF21" s="55" t="s">
        <v>98</v>
      </c>
      <c r="AG21" s="56" t="s">
        <v>98</v>
      </c>
      <c r="AH21" s="157">
        <f>AI18</f>
        <v>2029</v>
      </c>
      <c r="AI21" s="55" t="s">
        <v>98</v>
      </c>
      <c r="AJ21" s="56" t="s">
        <v>98</v>
      </c>
      <c r="AK21" s="55" t="s">
        <v>98</v>
      </c>
      <c r="AL21" s="56" t="s">
        <v>98</v>
      </c>
      <c r="AM21" s="157">
        <f>AN18</f>
        <v>2030</v>
      </c>
      <c r="AN21" s="55" t="s">
        <v>98</v>
      </c>
      <c r="AO21" s="152" t="s">
        <v>98</v>
      </c>
      <c r="AP21" s="55" t="s">
        <v>98</v>
      </c>
      <c r="AQ21" s="56" t="s">
        <v>98</v>
      </c>
      <c r="AR21" s="157">
        <f>AS18</f>
        <v>2031</v>
      </c>
      <c r="AS21" s="55" t="s">
        <v>98</v>
      </c>
      <c r="AT21" s="56" t="s">
        <v>98</v>
      </c>
      <c r="AU21" s="55" t="s">
        <v>98</v>
      </c>
      <c r="AV21" s="56" t="s">
        <v>98</v>
      </c>
      <c r="AW21" s="157">
        <f>AX18</f>
        <v>2032</v>
      </c>
      <c r="AX21" s="601" t="s">
        <v>98</v>
      </c>
      <c r="AY21" s="151" t="s">
        <v>98</v>
      </c>
      <c r="AZ21" s="601" t="s">
        <v>98</v>
      </c>
      <c r="BA21" s="151" t="s">
        <v>98</v>
      </c>
      <c r="BB21" s="157">
        <f>BC18</f>
        <v>2033</v>
      </c>
      <c r="BC21" s="601" t="s">
        <v>98</v>
      </c>
      <c r="BD21" s="151" t="s">
        <v>98</v>
      </c>
      <c r="BE21" s="601" t="s">
        <v>98</v>
      </c>
      <c r="BF21" s="151" t="s">
        <v>98</v>
      </c>
      <c r="BG21" s="157">
        <f>BH18</f>
        <v>2034</v>
      </c>
      <c r="BH21" s="55" t="s">
        <v>98</v>
      </c>
      <c r="BI21" s="56" t="s">
        <v>98</v>
      </c>
      <c r="BJ21" s="55" t="s">
        <v>98</v>
      </c>
      <c r="BK21" s="56" t="s">
        <v>98</v>
      </c>
      <c r="BL21" s="313" t="s">
        <v>98</v>
      </c>
      <c r="BM21" s="151" t="s">
        <v>98</v>
      </c>
      <c r="BN21" s="95"/>
      <c r="BO21" s="95"/>
      <c r="BP21" s="95"/>
    </row>
    <row r="22" spans="1:68" x14ac:dyDescent="0.25">
      <c r="A22" s="195"/>
      <c r="B22" s="156" t="s">
        <v>8</v>
      </c>
      <c r="C22" s="155" t="s">
        <v>9</v>
      </c>
      <c r="D22" s="154" t="s">
        <v>109</v>
      </c>
      <c r="E22" s="124">
        <f t="shared" ref="E22:J22" si="10">SUM(E23:E26)</f>
        <v>0.11999999933</v>
      </c>
      <c r="F22" s="132">
        <f t="shared" si="10"/>
        <v>5.9999971999999999E-2</v>
      </c>
      <c r="G22" s="126">
        <f t="shared" si="10"/>
        <v>9.0082191277863016E-2</v>
      </c>
      <c r="H22" s="127">
        <f t="shared" si="10"/>
        <v>4.5041074871232878E-2</v>
      </c>
      <c r="I22" s="124">
        <f t="shared" si="10"/>
        <v>0</v>
      </c>
      <c r="J22" s="132">
        <f t="shared" si="10"/>
        <v>0</v>
      </c>
      <c r="K22" s="933"/>
      <c r="L22" s="933"/>
      <c r="M22" s="934"/>
      <c r="N22" s="153" t="str">
        <f t="shared" ref="N22:N56" si="11">IF(ISBLANK(K22),"-  ",(VLOOKUP(K22,$B$6:$U$14,5))+1)</f>
        <v xml:space="preserve">-  </v>
      </c>
      <c r="O22" s="596">
        <f>SUM(O23:O26)</f>
        <v>0.12159999930320001</v>
      </c>
      <c r="P22" s="595">
        <f>SUM(P23:P26)</f>
        <v>6.2399970879999996E-2</v>
      </c>
      <c r="Q22" s="124">
        <f>SUM(Q23:Q26)</f>
        <v>0</v>
      </c>
      <c r="R22" s="132">
        <f>SUM(R23:R26)</f>
        <v>0</v>
      </c>
      <c r="S22" s="243" t="str">
        <f t="shared" ref="S22:S56" si="12">IF(ISBLANK($K22),"-  ",(VLOOKUP($K22,$B$6:$U$14,8))+1)</f>
        <v xml:space="preserve">-  </v>
      </c>
      <c r="T22" s="596">
        <f>SUM(T23:T26)</f>
        <v>0.1207999993166</v>
      </c>
      <c r="U22" s="595">
        <f>SUM(U23:U26)</f>
        <v>6.1199971440000001E-2</v>
      </c>
      <c r="V22" s="124">
        <f>SUM(V23:V26)</f>
        <v>0</v>
      </c>
      <c r="W22" s="132">
        <f>SUM(W23:W26)</f>
        <v>0</v>
      </c>
      <c r="X22" s="153" t="str">
        <f t="shared" ref="X22:X56" si="13">IF(ISBLANK($K22),"-  ",(VLOOKUP($K22,$B$6:$U$14,11))+1)</f>
        <v xml:space="preserve">-  </v>
      </c>
      <c r="Y22" s="596">
        <f>SUM(Y23:Y26)</f>
        <v>0.1207999993166</v>
      </c>
      <c r="Z22" s="595">
        <f>SUM(Z23:Z26)</f>
        <v>6.1199971440000001E-2</v>
      </c>
      <c r="AA22" s="124">
        <f>SUM(AA23:AA26)</f>
        <v>0</v>
      </c>
      <c r="AB22" s="132">
        <f>SUM(AB23:AB26)</f>
        <v>0</v>
      </c>
      <c r="AC22" s="153" t="str">
        <f t="shared" ref="AC22:AC56" si="14">IF(ISBLANK($K22),"-  ",(VLOOKUP($K22,$B$6:$U$14,14))+1)</f>
        <v xml:space="preserve">-  </v>
      </c>
      <c r="AD22" s="596">
        <f>SUM(AD23:AD26)</f>
        <v>0.1207999993166</v>
      </c>
      <c r="AE22" s="595">
        <f>SUM(AE23:AE26)</f>
        <v>6.1199971440000001E-2</v>
      </c>
      <c r="AF22" s="124">
        <f>SUM(AF23:AF26)</f>
        <v>0</v>
      </c>
      <c r="AG22" s="132">
        <f>SUM(AG23:AG26)</f>
        <v>0</v>
      </c>
      <c r="AH22" s="153" t="str">
        <f t="shared" ref="AH22:AH56" si="15">IF(ISBLANK($K22),"-  ",(VLOOKUP($K22,$B$6:$U$14,17))+1)</f>
        <v xml:space="preserve">-  </v>
      </c>
      <c r="AI22" s="596">
        <f>SUM(AI23:AI26)</f>
        <v>0.1207999993166</v>
      </c>
      <c r="AJ22" s="595">
        <f>SUM(AJ23:AJ26)</f>
        <v>6.1199971440000001E-2</v>
      </c>
      <c r="AK22" s="124">
        <f>SUM(AK23:AK26)</f>
        <v>0</v>
      </c>
      <c r="AL22" s="132">
        <f>SUM(AL23:AL26)</f>
        <v>0</v>
      </c>
      <c r="AM22" s="153" t="str">
        <f t="shared" ref="AM22:AM56" si="16">IF(ISBLANK($K22),"-  ",(VLOOKUP($K22,$B$6:$AJ$14,20))+1)</f>
        <v xml:space="preserve">-  </v>
      </c>
      <c r="AN22" s="124">
        <f>SUM(AN23:AN26)</f>
        <v>0.1207999993166</v>
      </c>
      <c r="AO22" s="132">
        <f>SUM(AO23:AO26)</f>
        <v>6.1199971440000001E-2</v>
      </c>
      <c r="AP22" s="124">
        <f>SUM(AP23:AP26)</f>
        <v>0</v>
      </c>
      <c r="AQ22" s="132">
        <f>SUM(AQ23:AQ26)</f>
        <v>0</v>
      </c>
      <c r="AR22" s="153" t="str">
        <f t="shared" ref="AR22:AR56" si="17">IF(ISBLANK($K22),"-  ",(VLOOKUP($K22,$B$6:$AJ$14,23))+1)</f>
        <v xml:space="preserve">-  </v>
      </c>
      <c r="AS22" s="124">
        <f>SUM(AS23:AS26)</f>
        <v>0.1207999993166</v>
      </c>
      <c r="AT22" s="125">
        <f>SUM(AT23:AT26)</f>
        <v>6.1199971440000001E-2</v>
      </c>
      <c r="AU22" s="124">
        <f>SUM(AU23:AU26)</f>
        <v>0</v>
      </c>
      <c r="AV22" s="132">
        <f>SUM(AV23:AV26)</f>
        <v>0</v>
      </c>
      <c r="AW22" s="153" t="str">
        <f t="shared" ref="AW22:AW56" si="18">IF(ISBLANK($K22),"-  ",(VLOOKUP($K22,$B$6:$AJ$14,26))+1)</f>
        <v xml:space="preserve">-  </v>
      </c>
      <c r="AX22" s="596">
        <f>SUM(AX23:AX26)</f>
        <v>0.1207999993166</v>
      </c>
      <c r="AY22" s="132">
        <f>SUM(AY23:AY26)</f>
        <v>6.1199971440000001E-2</v>
      </c>
      <c r="AZ22" s="596">
        <f>SUM(AZ23:AZ26)</f>
        <v>0</v>
      </c>
      <c r="BA22" s="132">
        <f>SUM(BA23:BA26)</f>
        <v>0</v>
      </c>
      <c r="BB22" s="243" t="str">
        <f t="shared" ref="BB22:BB56" si="19">IF(ISBLANK($K22),"-  ",(VLOOKUP($K22,$B$6:$AJ$14,29))+1)</f>
        <v xml:space="preserve">-  </v>
      </c>
      <c r="BC22" s="596">
        <f>SUM(BC23:BC26)</f>
        <v>0.1207999993166</v>
      </c>
      <c r="BD22" s="132">
        <f>SUM(BD23:BD26)</f>
        <v>6.1199971440000001E-2</v>
      </c>
      <c r="BE22" s="596">
        <f>SUM(BE23:BE26)</f>
        <v>0</v>
      </c>
      <c r="BF22" s="132">
        <f>SUM(BF23:BF26)</f>
        <v>0</v>
      </c>
      <c r="BG22" s="243" t="str">
        <f t="shared" ref="BG22:BG56" si="20">IF(ISBLANK($K22),"-  ",(VLOOKUP($K22,$B$6:$AJ$14,32))+1)</f>
        <v xml:space="preserve">-  </v>
      </c>
      <c r="BH22" s="124">
        <f t="shared" ref="BH22:BM22" si="21">SUM(BH23:BH26)</f>
        <v>0.1207999993166</v>
      </c>
      <c r="BI22" s="132">
        <f t="shared" si="21"/>
        <v>6.1199971440000001E-2</v>
      </c>
      <c r="BJ22" s="124">
        <f>SUM(BJ23:BJ26)</f>
        <v>0</v>
      </c>
      <c r="BK22" s="132">
        <f>SUM(BK23:BK26)</f>
        <v>0</v>
      </c>
      <c r="BL22" s="744">
        <f t="shared" si="21"/>
        <v>0</v>
      </c>
      <c r="BM22" s="132">
        <f t="shared" si="21"/>
        <v>0</v>
      </c>
      <c r="BN22" s="314"/>
      <c r="BO22" s="314"/>
      <c r="BP22" s="314"/>
    </row>
    <row r="23" spans="1:68" x14ac:dyDescent="0.25">
      <c r="A23" s="195"/>
      <c r="B23" s="42" t="s">
        <v>11</v>
      </c>
      <c r="C23" s="38" t="s">
        <v>12</v>
      </c>
      <c r="D23" s="43" t="s">
        <v>109</v>
      </c>
      <c r="E23" s="491">
        <f>Nabídka!F18</f>
        <v>0.08</v>
      </c>
      <c r="F23" s="149">
        <f>Nabídka!H18</f>
        <v>0</v>
      </c>
      <c r="G23" s="128">
        <f>IF(AND(DAY(Postup!$H$24)=1,MONTH(Postup!$H$24)=1),0,E23*Výpočty!$E$17)</f>
        <v>6.0054794520547947E-2</v>
      </c>
      <c r="H23" s="129">
        <f>IF(AND(DAY(Postup!$H$24)=1,MONTH(Postup!$H$24)=1),0,F23*Výpočty!$E$17)</f>
        <v>0</v>
      </c>
      <c r="I23" s="491">
        <v>0</v>
      </c>
      <c r="J23" s="149">
        <v>0</v>
      </c>
      <c r="K23" s="933"/>
      <c r="L23" s="933"/>
      <c r="M23" s="934"/>
      <c r="N23" s="153" t="str">
        <f t="shared" si="11"/>
        <v xml:space="preserve">-  </v>
      </c>
      <c r="O23" s="591">
        <f>Nabídka!F18</f>
        <v>0.08</v>
      </c>
      <c r="P23" s="593">
        <v>0</v>
      </c>
      <c r="Q23" s="491">
        <v>0</v>
      </c>
      <c r="R23" s="149">
        <v>0</v>
      </c>
      <c r="S23" s="243" t="str">
        <f t="shared" si="12"/>
        <v xml:space="preserve">-  </v>
      </c>
      <c r="T23" s="591">
        <f>Nabídka!F18</f>
        <v>0.08</v>
      </c>
      <c r="U23" s="593">
        <v>0</v>
      </c>
      <c r="V23" s="491">
        <v>0</v>
      </c>
      <c r="W23" s="149">
        <v>0</v>
      </c>
      <c r="X23" s="153" t="str">
        <f t="shared" si="13"/>
        <v xml:space="preserve">-  </v>
      </c>
      <c r="Y23" s="591">
        <f>Nabídka!F18</f>
        <v>0.08</v>
      </c>
      <c r="Z23" s="593">
        <v>0</v>
      </c>
      <c r="AA23" s="491">
        <v>0</v>
      </c>
      <c r="AB23" s="149">
        <v>0</v>
      </c>
      <c r="AC23" s="153" t="str">
        <f t="shared" si="14"/>
        <v xml:space="preserve">-  </v>
      </c>
      <c r="AD23" s="591">
        <f>Nabídka!F18</f>
        <v>0.08</v>
      </c>
      <c r="AE23" s="593">
        <v>0</v>
      </c>
      <c r="AF23" s="491">
        <v>0</v>
      </c>
      <c r="AG23" s="149">
        <v>0</v>
      </c>
      <c r="AH23" s="153" t="str">
        <f t="shared" si="15"/>
        <v xml:space="preserve">-  </v>
      </c>
      <c r="AI23" s="591">
        <f>Nabídka!F18</f>
        <v>0.08</v>
      </c>
      <c r="AJ23" s="593">
        <v>0</v>
      </c>
      <c r="AK23" s="491">
        <v>0</v>
      </c>
      <c r="AL23" s="149">
        <v>0</v>
      </c>
      <c r="AM23" s="153" t="str">
        <f t="shared" si="16"/>
        <v xml:space="preserve">-  </v>
      </c>
      <c r="AN23" s="591">
        <f>Nabídka!F18</f>
        <v>0.08</v>
      </c>
      <c r="AO23" s="593">
        <v>0</v>
      </c>
      <c r="AP23" s="491">
        <v>0</v>
      </c>
      <c r="AQ23" s="149">
        <v>0</v>
      </c>
      <c r="AR23" s="153" t="str">
        <f t="shared" si="17"/>
        <v xml:space="preserve">-  </v>
      </c>
      <c r="AS23" s="591">
        <f>Nabídka!F18</f>
        <v>0.08</v>
      </c>
      <c r="AT23" s="589">
        <v>0</v>
      </c>
      <c r="AU23" s="491">
        <v>0</v>
      </c>
      <c r="AV23" s="149">
        <v>0</v>
      </c>
      <c r="AW23" s="153" t="str">
        <f t="shared" si="18"/>
        <v xml:space="preserve">-  </v>
      </c>
      <c r="AX23" s="591">
        <f>Nabídka!F18</f>
        <v>0.08</v>
      </c>
      <c r="AY23" s="149">
        <v>0</v>
      </c>
      <c r="AZ23" s="591">
        <v>0</v>
      </c>
      <c r="BA23" s="149">
        <v>0</v>
      </c>
      <c r="BB23" s="243" t="str">
        <f t="shared" si="19"/>
        <v xml:space="preserve">-  </v>
      </c>
      <c r="BC23" s="591">
        <f>Nabídka!F18</f>
        <v>0.08</v>
      </c>
      <c r="BD23" s="149">
        <v>0</v>
      </c>
      <c r="BE23" s="591">
        <v>0</v>
      </c>
      <c r="BF23" s="149">
        <v>0</v>
      </c>
      <c r="BG23" s="243" t="str">
        <f t="shared" si="20"/>
        <v xml:space="preserve">-  </v>
      </c>
      <c r="BH23" s="591">
        <f>Nabídka!F18</f>
        <v>0.08</v>
      </c>
      <c r="BI23" s="593">
        <v>0</v>
      </c>
      <c r="BJ23" s="491">
        <v>0</v>
      </c>
      <c r="BK23" s="149">
        <v>0</v>
      </c>
      <c r="BL23" s="745">
        <f>IF(AND(DAY(Postup!$H$25)=31,MONTH(Postup!$H$25)=12),0,INDEX($E23:$BP23,MATCH($BL$57,$E$57:$BP$57,0))*Výpočty!$E$23)</f>
        <v>0</v>
      </c>
      <c r="BM23" s="129">
        <f>IF(AND(DAY(Postup!$H$25)=31,MONTH(Postup!$H$25)=12),0,INDEX($E23:$BP23,MATCH($BM$57,$E$57:$BP$57,0))*Výpočty!$E$23)</f>
        <v>0</v>
      </c>
      <c r="BN23" s="147"/>
      <c r="BO23" s="147"/>
      <c r="BP23" s="147"/>
    </row>
    <row r="24" spans="1:68" x14ac:dyDescent="0.25">
      <c r="A24" s="195"/>
      <c r="B24" s="42" t="s">
        <v>13</v>
      </c>
      <c r="C24" s="42" t="s">
        <v>14</v>
      </c>
      <c r="D24" s="43" t="s">
        <v>109</v>
      </c>
      <c r="E24" s="491">
        <f>Nabídka!F19</f>
        <v>0</v>
      </c>
      <c r="F24" s="492">
        <f>Nabídka!H19</f>
        <v>0</v>
      </c>
      <c r="G24" s="128">
        <f>IF(AND(DAY(Postup!$H$24)=1,MONTH(Postup!$H$24)=1),0,E24*Výpočty!$E$17)</f>
        <v>0</v>
      </c>
      <c r="H24" s="129">
        <f>IF(AND(DAY(Postup!$H$24)=1,MONTH(Postup!$H$24)=1),0,F24*Výpočty!$E$17)</f>
        <v>0</v>
      </c>
      <c r="I24" s="491">
        <v>0</v>
      </c>
      <c r="J24" s="492">
        <v>0</v>
      </c>
      <c r="K24" s="933"/>
      <c r="L24" s="933"/>
      <c r="M24" s="934"/>
      <c r="N24" s="153" t="str">
        <f t="shared" si="11"/>
        <v xml:space="preserve">-  </v>
      </c>
      <c r="O24" s="591">
        <f>Nabídka!F19</f>
        <v>0</v>
      </c>
      <c r="P24" s="587">
        <f>Nabídka!H19</f>
        <v>0</v>
      </c>
      <c r="Q24" s="491">
        <v>0</v>
      </c>
      <c r="R24" s="492">
        <v>0</v>
      </c>
      <c r="S24" s="243" t="str">
        <f t="shared" si="12"/>
        <v xml:space="preserve">-  </v>
      </c>
      <c r="T24" s="591">
        <f>Nabídka!F19</f>
        <v>0</v>
      </c>
      <c r="U24" s="722">
        <f>Nabídka!H19</f>
        <v>0</v>
      </c>
      <c r="V24" s="491">
        <v>0</v>
      </c>
      <c r="W24" s="492">
        <v>0</v>
      </c>
      <c r="X24" s="153" t="str">
        <f t="shared" si="13"/>
        <v xml:space="preserve">-  </v>
      </c>
      <c r="Y24" s="591">
        <f>Nabídka!F19</f>
        <v>0</v>
      </c>
      <c r="Z24" s="722">
        <f>Nabídka!H19</f>
        <v>0</v>
      </c>
      <c r="AA24" s="491">
        <v>0</v>
      </c>
      <c r="AB24" s="492">
        <v>0</v>
      </c>
      <c r="AC24" s="153" t="str">
        <f t="shared" si="14"/>
        <v xml:space="preserve">-  </v>
      </c>
      <c r="AD24" s="591">
        <f>Nabídka!F19</f>
        <v>0</v>
      </c>
      <c r="AE24" s="722">
        <f>Nabídka!H19</f>
        <v>0</v>
      </c>
      <c r="AF24" s="491">
        <v>0</v>
      </c>
      <c r="AG24" s="492">
        <v>0</v>
      </c>
      <c r="AH24" s="153" t="str">
        <f t="shared" si="15"/>
        <v xml:space="preserve">-  </v>
      </c>
      <c r="AI24" s="591">
        <f>Nabídka!F19</f>
        <v>0</v>
      </c>
      <c r="AJ24" s="760">
        <f>Nabídka!H19</f>
        <v>0</v>
      </c>
      <c r="AK24" s="491">
        <v>0</v>
      </c>
      <c r="AL24" s="492">
        <v>0</v>
      </c>
      <c r="AM24" s="153" t="str">
        <f t="shared" si="16"/>
        <v xml:space="preserve">-  </v>
      </c>
      <c r="AN24" s="591">
        <f>Nabídka!F19</f>
        <v>0</v>
      </c>
      <c r="AO24" s="587">
        <f>Nabídka!H19</f>
        <v>0</v>
      </c>
      <c r="AP24" s="491">
        <v>0</v>
      </c>
      <c r="AQ24" s="492">
        <v>0</v>
      </c>
      <c r="AR24" s="153" t="str">
        <f t="shared" si="17"/>
        <v xml:space="preserve">-  </v>
      </c>
      <c r="AS24" s="591">
        <f>Nabídka!F19</f>
        <v>0</v>
      </c>
      <c r="AT24" s="587">
        <f>Nabídka!H19</f>
        <v>0</v>
      </c>
      <c r="AU24" s="491">
        <v>0</v>
      </c>
      <c r="AV24" s="492">
        <v>0</v>
      </c>
      <c r="AW24" s="153" t="str">
        <f t="shared" si="18"/>
        <v xml:space="preserve">-  </v>
      </c>
      <c r="AX24" s="591">
        <f>Nabídka!F19</f>
        <v>0</v>
      </c>
      <c r="AY24" s="492">
        <f>Nabídka!H19</f>
        <v>0</v>
      </c>
      <c r="AZ24" s="591">
        <v>0</v>
      </c>
      <c r="BA24" s="492">
        <v>0</v>
      </c>
      <c r="BB24" s="243" t="str">
        <f t="shared" si="19"/>
        <v xml:space="preserve">-  </v>
      </c>
      <c r="BC24" s="591">
        <f>Nabídka!F19</f>
        <v>0</v>
      </c>
      <c r="BD24" s="492">
        <f>Nabídka!H19</f>
        <v>0</v>
      </c>
      <c r="BE24" s="591">
        <v>0</v>
      </c>
      <c r="BF24" s="492">
        <v>0</v>
      </c>
      <c r="BG24" s="243" t="str">
        <f t="shared" si="20"/>
        <v xml:space="preserve">-  </v>
      </c>
      <c r="BH24" s="591">
        <f>Nabídka!F19</f>
        <v>0</v>
      </c>
      <c r="BI24" s="599">
        <f>Nabídka!H19</f>
        <v>0</v>
      </c>
      <c r="BJ24" s="491">
        <v>0</v>
      </c>
      <c r="BK24" s="492">
        <v>0</v>
      </c>
      <c r="BL24" s="745">
        <f>IF(AND(DAY(Postup!$H$25)=31,MONTH(Postup!$H$25)=12),0,INDEX($E24:$BP24,MATCH($BL$57,$E$57:$BP$57,0))*Výpočty!$E$23)</f>
        <v>0</v>
      </c>
      <c r="BM24" s="129">
        <f>IF(AND(DAY(Postup!$H$25)=31,MONTH(Postup!$H$25)=12),0,INDEX($E24:$BP24,MATCH($BM$57,$E$57:$BP$57,0))*Výpočty!$E$23)</f>
        <v>0</v>
      </c>
      <c r="BN24" s="147"/>
      <c r="BO24" s="147"/>
      <c r="BP24" s="147"/>
    </row>
    <row r="25" spans="1:68" x14ac:dyDescent="0.25">
      <c r="A25" s="195"/>
      <c r="B25" s="42" t="s">
        <v>15</v>
      </c>
      <c r="C25" s="38" t="s">
        <v>16</v>
      </c>
      <c r="D25" s="43" t="s">
        <v>109</v>
      </c>
      <c r="E25" s="128">
        <f>Nabídka!F20</f>
        <v>6.6666659999999999E-3</v>
      </c>
      <c r="F25" s="129">
        <f>Nabídka!H20</f>
        <v>4.9999971999999997E-2</v>
      </c>
      <c r="G25" s="128">
        <f>IF(AND(DAY(Postup!$H$24)=1,MONTH(Postup!$H$24)=1),0,E25*Výpočty!$E$17)</f>
        <v>5.0045657095890411E-3</v>
      </c>
      <c r="H25" s="129">
        <f>IF(AND(DAY(Postup!$H$24)=1,MONTH(Postup!$H$24)=1),0,F25*Výpočty!$E$17)</f>
        <v>3.7534225556164383E-2</v>
      </c>
      <c r="I25" s="128">
        <f>IF(I$16="Neaktivní",0,IF(ISBLANK($J$17),0,IF(AND(DAY(Postup!$H$24)=1,MONTH(Postup!$H$24)=1),E25,G25)))</f>
        <v>0</v>
      </c>
      <c r="J25" s="129">
        <f>IF(I$16="Neaktivní",0,IF(ISBLANK($J$17),0,IF(AND(DAY(Postup!$H$24)=1,MONTH(Postup!$H$24)=1),F25,H25)))</f>
        <v>0</v>
      </c>
      <c r="K25" s="939" t="s">
        <v>118</v>
      </c>
      <c r="L25" s="939"/>
      <c r="M25" s="940"/>
      <c r="N25" s="153">
        <f t="shared" si="11"/>
        <v>1.04</v>
      </c>
      <c r="O25" s="133">
        <f>Nabídka!J20*Provozování!O49*Provozování!N25/1000</f>
        <v>6.9333326400000004E-3</v>
      </c>
      <c r="P25" s="588">
        <f>Nabídka!K20*(Provozování!P51+Provozování!P53)*Provozování!N25/1000</f>
        <v>5.1999970879999996E-2</v>
      </c>
      <c r="Q25" s="128">
        <f>IF(Q16="Neaktivní",0,IF(ISBLANK(R$17),0,O25))</f>
        <v>0</v>
      </c>
      <c r="R25" s="129">
        <f>IF(Q16="Neaktivní",0,IF(ISBLANK(R$17),0,P25))</f>
        <v>0</v>
      </c>
      <c r="S25" s="243">
        <f t="shared" si="12"/>
        <v>1.02</v>
      </c>
      <c r="T25" s="133">
        <f>Nabídka!$J$20*Provozování!T49*Provozování!S25/1000</f>
        <v>6.7999993200000006E-3</v>
      </c>
      <c r="U25" s="588">
        <f>Nabídka!$K$20*(Provozování!U51+Provozování!U53)*Provozování!S25/1000</f>
        <v>5.099997144E-2</v>
      </c>
      <c r="V25" s="128">
        <f>IF(V16="Neaktivní",0,IF(ISBLANK(W$17),0,T25))</f>
        <v>0</v>
      </c>
      <c r="W25" s="129">
        <f>IF(V16="Neaktivní",0,IF(ISBLANK(W$17),0,U25))</f>
        <v>0</v>
      </c>
      <c r="X25" s="153">
        <f t="shared" si="13"/>
        <v>1.02</v>
      </c>
      <c r="Y25" s="133">
        <f>Nabídka!$J$20*Provozování!Y49*Provozování!X25/1000</f>
        <v>6.7999993200000006E-3</v>
      </c>
      <c r="Z25" s="588">
        <f>Nabídka!$K$20*(Provozování!Z51+Provozování!Z53)*Provozování!X25/1000</f>
        <v>5.099997144E-2</v>
      </c>
      <c r="AA25" s="128">
        <f>IF(AA16="Neaktivní",0,IF(ISBLANK(AB$17),0,Y25))</f>
        <v>0</v>
      </c>
      <c r="AB25" s="129">
        <f>IF(AA16="Neaktivní",0,IF(ISBLANK(AB$17),0,Z25))</f>
        <v>0</v>
      </c>
      <c r="AC25" s="153">
        <f t="shared" si="14"/>
        <v>1.02</v>
      </c>
      <c r="AD25" s="133">
        <f>Nabídka!$J$20*Provozování!AD49*Provozování!AC25/1000</f>
        <v>6.7999993200000006E-3</v>
      </c>
      <c r="AE25" s="588">
        <f>Nabídka!$K$20*(Provozování!AE51+Provozování!AE53)*Provozování!AC25/1000</f>
        <v>5.099997144E-2</v>
      </c>
      <c r="AF25" s="128">
        <f>IF(AF16="Neaktivní",0,IF(ISBLANK(AG$17),0,AD25))</f>
        <v>0</v>
      </c>
      <c r="AG25" s="129">
        <f>IF(AF16="Neaktivní",0,IF(ISBLANK(AG$17),0,AE25))</f>
        <v>0</v>
      </c>
      <c r="AH25" s="153">
        <f t="shared" si="15"/>
        <v>1.02</v>
      </c>
      <c r="AI25" s="133">
        <f>Nabídka!$J$20*Provozování!AI49*Provozování!AH25/1000</f>
        <v>6.7999993200000006E-3</v>
      </c>
      <c r="AJ25" s="588">
        <f>Nabídka!$K$20*(Provozování!AJ51+Provozování!AJ53)*Provozování!AH25/1000</f>
        <v>5.099997144E-2</v>
      </c>
      <c r="AK25" s="128">
        <f>IF(AK16="Neaktivní",0,IF(ISBLANK(AL$17),0,AI25))</f>
        <v>0</v>
      </c>
      <c r="AL25" s="129">
        <f>IF(AK16="Neaktivní",0,IF(ISBLANK(AL$17),0,AJ25))</f>
        <v>0</v>
      </c>
      <c r="AM25" s="153">
        <f t="shared" si="16"/>
        <v>1.02</v>
      </c>
      <c r="AN25" s="133">
        <f>Nabídka!$J$20*Provozování!AN49*Provozování!AM25/1000</f>
        <v>6.7999993200000006E-3</v>
      </c>
      <c r="AO25" s="588">
        <f>Nabídka!$K$20*(Provozování!AO51+Provozování!AO53)*Provozování!AM25/1000</f>
        <v>5.099997144E-2</v>
      </c>
      <c r="AP25" s="128">
        <f>IF(AP16="Neaktivní",0,IF(ISBLANK(AQ$17),0,AN25))</f>
        <v>0</v>
      </c>
      <c r="AQ25" s="129">
        <f>IF(AP16="Neaktivní",0,IF(ISBLANK(AQ$17),0,AO25))</f>
        <v>0</v>
      </c>
      <c r="AR25" s="153">
        <f t="shared" si="17"/>
        <v>1.02</v>
      </c>
      <c r="AS25" s="133">
        <f>Nabídka!$J$20*Provozování!AS49*Provozování!AR25/1000</f>
        <v>6.7999993200000006E-3</v>
      </c>
      <c r="AT25" s="586">
        <f>Nabídka!$K$20*(Provozování!AT51+Provozování!AT53)*Provozování!AR25/1000</f>
        <v>5.099997144E-2</v>
      </c>
      <c r="AU25" s="128">
        <f>IF(AU16="Neaktivní",0,IF(ISBLANK(AV$17),0,AS25))</f>
        <v>0</v>
      </c>
      <c r="AV25" s="129">
        <f>IF(AU16="Neaktivní",0,IF(ISBLANK(AV$17),0,AT25))</f>
        <v>0</v>
      </c>
      <c r="AW25" s="153">
        <f t="shared" si="18"/>
        <v>1.02</v>
      </c>
      <c r="AX25" s="133">
        <f>Nabídka!$J$20*Provozování!AX49*Provozování!AW25/1000</f>
        <v>6.7999993200000006E-3</v>
      </c>
      <c r="AY25" s="129">
        <f>Nabídka!$K$20*(Provozování!AY51+Provozování!AY53)*Provozování!AW25/1000</f>
        <v>5.099997144E-2</v>
      </c>
      <c r="AZ25" s="133">
        <f>IF(AZ16="Neaktivní",0,IF(ISBLANK(BA$17),0,AX25))</f>
        <v>0</v>
      </c>
      <c r="BA25" s="129">
        <f>IF(AZ16="Neaktivní",0,IF(ISBLANK(BA$17),0,AY25))</f>
        <v>0</v>
      </c>
      <c r="BB25" s="243">
        <f t="shared" si="19"/>
        <v>1.02</v>
      </c>
      <c r="BC25" s="133">
        <f>Nabídka!$J$20*Provozování!BC49*Provozování!BB25/1000</f>
        <v>6.7999993200000006E-3</v>
      </c>
      <c r="BD25" s="129">
        <f>Nabídka!$K$20*(Provozování!BD51+Provozování!BD53)*Provozování!BB25/1000</f>
        <v>5.099997144E-2</v>
      </c>
      <c r="BE25" s="133">
        <f>IF(BE16="Neaktivní",0,IF(ISBLANK(BF$17),0,BC25))</f>
        <v>0</v>
      </c>
      <c r="BF25" s="129">
        <f>IF(BE16="Neaktivní",0,IF(ISBLANK(BF$17),0,BD25))</f>
        <v>0</v>
      </c>
      <c r="BG25" s="243">
        <f t="shared" si="20"/>
        <v>1.02</v>
      </c>
      <c r="BH25" s="133">
        <f>Nabídka!$J$20*Provozování!BH49*Provozování!BG25/1000</f>
        <v>6.7999993200000006E-3</v>
      </c>
      <c r="BI25" s="588">
        <f>Nabídka!$K$20*(Provozování!BI51+Provozování!BI53)*Provozování!BG25/1000</f>
        <v>5.099997144E-2</v>
      </c>
      <c r="BJ25" s="128">
        <f>IF(BJ16="Neaktivní",0,IF(ISBLANK(BK$17),0,BH25))</f>
        <v>0</v>
      </c>
      <c r="BK25" s="129">
        <f>IF(BJ16="Neaktivní",0,IF(ISBLANK(BK$17),0,BI25))</f>
        <v>0</v>
      </c>
      <c r="BL25" s="745">
        <f>IF(AND(DAY(Postup!$H$25)=31,MONTH(Postup!$H$25)=12),0,INDEX($E25:$BP25,MATCH($BL$57,$E$57:$BP$57,0))*Výpočty!$E$23)</f>
        <v>0</v>
      </c>
      <c r="BM25" s="129">
        <f>IF(AND(DAY(Postup!$H$25)=31,MONTH(Postup!$H$25)=12),0,INDEX($E25:$BP25,MATCH($BM$57,$E$57:$BP$57,0))*Výpočty!$E$23)</f>
        <v>0</v>
      </c>
      <c r="BN25" s="147"/>
      <c r="BO25" s="147"/>
      <c r="BP25" s="147"/>
    </row>
    <row r="26" spans="1:68" x14ac:dyDescent="0.25">
      <c r="A26" s="195"/>
      <c r="B26" s="42" t="s">
        <v>17</v>
      </c>
      <c r="C26" s="38" t="s">
        <v>18</v>
      </c>
      <c r="D26" s="43" t="s">
        <v>109</v>
      </c>
      <c r="E26" s="128">
        <f>Nabídka!F21</f>
        <v>3.3333333329999999E-2</v>
      </c>
      <c r="F26" s="129">
        <f>Nabídka!H21</f>
        <v>0.01</v>
      </c>
      <c r="G26" s="128">
        <f>IF(AND(DAY(Postup!$H$24)=1,MONTH(Postup!$H$24)=1),0,E26*Výpočty!$E$17)</f>
        <v>2.5022831047726027E-2</v>
      </c>
      <c r="H26" s="129">
        <f>IF(AND(DAY(Postup!$H$24)=1,MONTH(Postup!$H$24)=1),0,F26*Výpočty!$E$17)</f>
        <v>7.5068493150684933E-3</v>
      </c>
      <c r="I26" s="128">
        <f>IF(I$16="Neaktivní",0,IF(ISBLANK($J$17),0,IF(AND(DAY(Postup!$H$24)=1,MONTH(Postup!$H$24)=1),E26,G26)))</f>
        <v>0</v>
      </c>
      <c r="J26" s="129">
        <f>IF(I$16="Neaktivní",0,IF(ISBLANK($J$17),0,IF(AND(DAY(Postup!$H$24)=1,MONTH(Postup!$H$24)=1),F26,H26)))</f>
        <v>0</v>
      </c>
      <c r="K26" s="939" t="s">
        <v>118</v>
      </c>
      <c r="L26" s="939"/>
      <c r="M26" s="940"/>
      <c r="N26" s="153">
        <f t="shared" si="11"/>
        <v>1.04</v>
      </c>
      <c r="O26" s="133">
        <f>($E26+(Nabídka!$J21*O$58*$E$49/1000))*N26</f>
        <v>3.4666666663200001E-2</v>
      </c>
      <c r="P26" s="588">
        <f>($F26+(Nabídka!$K21*P$58*($F$51+$F$53)/1000))*N26</f>
        <v>1.0400000000000001E-2</v>
      </c>
      <c r="Q26" s="128">
        <f>IF(Q16="Neaktivní",0,IF(ISBLANK(R$17),0,O26))</f>
        <v>0</v>
      </c>
      <c r="R26" s="129">
        <f>IF(Q16="Neaktivní",0,IF(ISBLANK(R$17),0,P26))</f>
        <v>0</v>
      </c>
      <c r="S26" s="243">
        <f t="shared" si="12"/>
        <v>1.02</v>
      </c>
      <c r="T26" s="133">
        <f>($E26+(Nabídka!$J21*T$58*$E$49/1000))*S26</f>
        <v>3.39999999966E-2</v>
      </c>
      <c r="U26" s="588">
        <f>($F26+(Nabídka!$K21*U$58*($F$51+$F$53)/1000))*S26</f>
        <v>1.0200000000000001E-2</v>
      </c>
      <c r="V26" s="128">
        <f>IF(V16="Neaktivní",0,IF(ISBLANK(W17),0,T26))</f>
        <v>0</v>
      </c>
      <c r="W26" s="129">
        <f>IF(V16="Neaktivní",0,IF(ISBLANK(W17),0,U26))</f>
        <v>0</v>
      </c>
      <c r="X26" s="153">
        <f t="shared" si="13"/>
        <v>1.02</v>
      </c>
      <c r="Y26" s="133">
        <f>($E26+(Nabídka!$J21*Y$58*$E$49/1000))*X26</f>
        <v>3.39999999966E-2</v>
      </c>
      <c r="Z26" s="588">
        <f>($F26+(Nabídka!$K21*Z$58*($F$51+$F$53)/1000))*X26</f>
        <v>1.0200000000000001E-2</v>
      </c>
      <c r="AA26" s="128">
        <f>IF(AA16="Neaktivní",0,IF(ISBLANK(AB17),0,Y26))</f>
        <v>0</v>
      </c>
      <c r="AB26" s="129">
        <f>IF(AA16="Neaktivní",0,IF(ISBLANK(AB17),0,Z26))</f>
        <v>0</v>
      </c>
      <c r="AC26" s="153">
        <f t="shared" si="14"/>
        <v>1.02</v>
      </c>
      <c r="AD26" s="133">
        <f>($E26+(Nabídka!$J21*AD$58*$E$49/1000))*AC26</f>
        <v>3.39999999966E-2</v>
      </c>
      <c r="AE26" s="588">
        <f>($F26+(Nabídka!$K21*AE$58*($F$51+$F$53)/1000))*AC26</f>
        <v>1.0200000000000001E-2</v>
      </c>
      <c r="AF26" s="128">
        <f>IF(AF16="Neaktivní",0,IF(ISBLANK(AG17),0,AD26))</f>
        <v>0</v>
      </c>
      <c r="AG26" s="129">
        <f>IF(AF16="Neaktivní",0,IF(ISBLANK(AG17),0,AE26))</f>
        <v>0</v>
      </c>
      <c r="AH26" s="153">
        <f t="shared" si="15"/>
        <v>1.02</v>
      </c>
      <c r="AI26" s="133">
        <f>($E26+(Nabídka!$J21*AI$58*$E$49/1000))*AH26</f>
        <v>3.39999999966E-2</v>
      </c>
      <c r="AJ26" s="588">
        <f>($F26+(Nabídka!$K21*AJ$58*($F$51+$F$53)/1000))*AH26</f>
        <v>1.0200000000000001E-2</v>
      </c>
      <c r="AK26" s="128">
        <f>IF(AK16="Neaktivní",0,IF(ISBLANK(AL17),0,AI26))</f>
        <v>0</v>
      </c>
      <c r="AL26" s="129">
        <f>IF(AK16="Neaktivní",0,IF(ISBLANK(AL17),0,AJ26))</f>
        <v>0</v>
      </c>
      <c r="AM26" s="153">
        <f t="shared" si="16"/>
        <v>1.02</v>
      </c>
      <c r="AN26" s="133">
        <f>($E26+(Nabídka!$J21*AN$58*$E$49/1000))*AM26</f>
        <v>3.39999999966E-2</v>
      </c>
      <c r="AO26" s="588">
        <f>($F26+(Nabídka!$K21*AO$58*($F$51+$F$53)/1000))*AM26</f>
        <v>1.0200000000000001E-2</v>
      </c>
      <c r="AP26" s="128">
        <f>IF(AP16="Neaktivní",0,IF(ISBLANK(AQ17),0,AN26))</f>
        <v>0</v>
      </c>
      <c r="AQ26" s="129">
        <f>IF(AP16="Neaktivní",0,IF(ISBLANK(AQ17),0,AO26))</f>
        <v>0</v>
      </c>
      <c r="AR26" s="153">
        <f t="shared" si="17"/>
        <v>1.02</v>
      </c>
      <c r="AS26" s="133">
        <f>($E26+(Nabídka!$J21*AS$58*$E$49/1000))*AR26</f>
        <v>3.39999999966E-2</v>
      </c>
      <c r="AT26" s="586">
        <f>($F26+(Nabídka!$K21*AT$58*($F$51+$F$53)/1000))*AR26</f>
        <v>1.0200000000000001E-2</v>
      </c>
      <c r="AU26" s="128">
        <f>IF(AU16="Neaktivní",0,IF(ISBLANK(AV17),0,AS26))</f>
        <v>0</v>
      </c>
      <c r="AV26" s="129">
        <f>IF(AU16="Neaktivní",0,IF(ISBLANK(AV17),0,AT26))</f>
        <v>0</v>
      </c>
      <c r="AW26" s="153">
        <f t="shared" si="18"/>
        <v>1.02</v>
      </c>
      <c r="AX26" s="133">
        <f>($E26+(Nabídka!$J21*AX$58*$E$49/1000))*AW26</f>
        <v>3.39999999966E-2</v>
      </c>
      <c r="AY26" s="129">
        <f>($F26+(Nabídka!$K21*AY$58*($F$51+$F$53)/1000))*AW26</f>
        <v>1.0200000000000001E-2</v>
      </c>
      <c r="AZ26" s="133">
        <f>IF(AZ16="Neaktivní",0,IF(ISBLANK(BA17),0,AX26))</f>
        <v>0</v>
      </c>
      <c r="BA26" s="129">
        <f>IF(AZ16="Neaktivní",0,IF(ISBLANK(BA17),0,AY26))</f>
        <v>0</v>
      </c>
      <c r="BB26" s="243">
        <f t="shared" si="19"/>
        <v>1.02</v>
      </c>
      <c r="BC26" s="133">
        <f>($E26+(Nabídka!$J21*BC$58*$E$49/1000))*BB26</f>
        <v>3.39999999966E-2</v>
      </c>
      <c r="BD26" s="129">
        <f>($F26+(Nabídka!$K21*BD$58*($F$51+$F$53)/1000))*BB26</f>
        <v>1.0200000000000001E-2</v>
      </c>
      <c r="BE26" s="133">
        <f>IF(BE16="Neaktivní",0,IF(ISBLANK(BF17),0,BC26))</f>
        <v>0</v>
      </c>
      <c r="BF26" s="129">
        <f>IF(BE16="Neaktivní",0,IF(ISBLANK(BF17),0,BD26))</f>
        <v>0</v>
      </c>
      <c r="BG26" s="243">
        <f t="shared" si="20"/>
        <v>1.02</v>
      </c>
      <c r="BH26" s="133">
        <f>($E26+(Nabídka!$J21*BH$58*$E$49/1000))*BG26</f>
        <v>3.39999999966E-2</v>
      </c>
      <c r="BI26" s="588">
        <f>($F26+(Nabídka!$K21*BI$58*($F$51+$F$53)/1000))*BG26</f>
        <v>1.0200000000000001E-2</v>
      </c>
      <c r="BJ26" s="128">
        <f>IF(BJ16="Neaktivní",0,IF(ISBLANK(BK17),0,BH26))</f>
        <v>0</v>
      </c>
      <c r="BK26" s="129">
        <f>IF(BJ16="Neaktivní",0,IF(ISBLANK(BK17),0,BI26))</f>
        <v>0</v>
      </c>
      <c r="BL26" s="745">
        <f>IF(AND(DAY(Postup!$H$25)=31,MONTH(Postup!$H$25)=12),0,INDEX($E26:$BP26,MATCH($BL$57,$E$57:$BP$57,0))*Výpočty!$E$23)</f>
        <v>0</v>
      </c>
      <c r="BM26" s="129">
        <f>IF(AND(DAY(Postup!$H$25)=31,MONTH(Postup!$H$25)=12),0,INDEX($E26:$BP26,MATCH($BM$57,$E$57:$BP$57,0))*Výpočty!$E$23)</f>
        <v>0</v>
      </c>
      <c r="BN26" s="147"/>
      <c r="BO26" s="147"/>
      <c r="BP26" s="147"/>
    </row>
    <row r="27" spans="1:68" x14ac:dyDescent="0.25">
      <c r="A27" s="195"/>
      <c r="B27" s="39" t="s">
        <v>19</v>
      </c>
      <c r="C27" s="40" t="s">
        <v>20</v>
      </c>
      <c r="D27" s="154" t="s">
        <v>109</v>
      </c>
      <c r="E27" s="126">
        <f t="shared" ref="E27:J27" si="22">SUM(E28:E29)</f>
        <v>3.6666663000000002E-2</v>
      </c>
      <c r="F27" s="127">
        <f t="shared" si="22"/>
        <v>0.39999999599999997</v>
      </c>
      <c r="G27" s="126">
        <f t="shared" si="22"/>
        <v>2.7525111402739728E-2</v>
      </c>
      <c r="H27" s="127">
        <f t="shared" si="22"/>
        <v>0.30027396959999997</v>
      </c>
      <c r="I27" s="126">
        <f t="shared" si="22"/>
        <v>0</v>
      </c>
      <c r="J27" s="127">
        <f t="shared" si="22"/>
        <v>0</v>
      </c>
      <c r="K27" s="933"/>
      <c r="L27" s="933"/>
      <c r="M27" s="934"/>
      <c r="N27" s="153" t="str">
        <f t="shared" si="11"/>
        <v xml:space="preserve">-  </v>
      </c>
      <c r="O27" s="590">
        <f>SUM(O28:O29)</f>
        <v>3.8133329520000002E-2</v>
      </c>
      <c r="P27" s="594">
        <f>SUM(P28:P29)</f>
        <v>0.41599999583999991</v>
      </c>
      <c r="Q27" s="126">
        <f>SUM(Q28:Q29)</f>
        <v>0</v>
      </c>
      <c r="R27" s="127">
        <f>SUM(R28:R29)</f>
        <v>0</v>
      </c>
      <c r="S27" s="243" t="str">
        <f t="shared" si="12"/>
        <v xml:space="preserve">-  </v>
      </c>
      <c r="T27" s="590">
        <f>SUM(T28:T29)</f>
        <v>3.7399996259999999E-2</v>
      </c>
      <c r="U27" s="594">
        <f>SUM(U28:U29)</f>
        <v>0.40799999591999997</v>
      </c>
      <c r="V27" s="126">
        <f>SUM(V28:V29)</f>
        <v>3.7399996259999999E-2</v>
      </c>
      <c r="W27" s="127">
        <f>SUM(W28:W29)</f>
        <v>0.40799999591999997</v>
      </c>
      <c r="X27" s="153" t="str">
        <f t="shared" si="13"/>
        <v xml:space="preserve">-  </v>
      </c>
      <c r="Y27" s="590">
        <f>SUM(Y28:Y29)</f>
        <v>3.7399996259999999E-2</v>
      </c>
      <c r="Z27" s="594">
        <f>SUM(Z28:Z29)</f>
        <v>0.40799999591999997</v>
      </c>
      <c r="AA27" s="126">
        <f>SUM(AA28:AA29)</f>
        <v>3.7399996259999999E-2</v>
      </c>
      <c r="AB27" s="127">
        <f>SUM(AB28:AB29)</f>
        <v>0.40799999591999997</v>
      </c>
      <c r="AC27" s="153" t="str">
        <f t="shared" si="14"/>
        <v xml:space="preserve">-  </v>
      </c>
      <c r="AD27" s="590">
        <f>SUM(AD28:AD29)</f>
        <v>3.7399996259999999E-2</v>
      </c>
      <c r="AE27" s="594">
        <f>SUM(AE28:AE29)</f>
        <v>0.40799999591999997</v>
      </c>
      <c r="AF27" s="126">
        <f>SUM(AF28:AF29)</f>
        <v>3.7399996259999999E-2</v>
      </c>
      <c r="AG27" s="127">
        <f>SUM(AG28:AG29)</f>
        <v>0.40799999591999997</v>
      </c>
      <c r="AH27" s="153" t="str">
        <f t="shared" si="15"/>
        <v xml:space="preserve">-  </v>
      </c>
      <c r="AI27" s="590">
        <f>SUM(AI28:AI29)</f>
        <v>3.7399996259999999E-2</v>
      </c>
      <c r="AJ27" s="594">
        <f>SUM(AJ28:AJ29)</f>
        <v>0.40799999591999997</v>
      </c>
      <c r="AK27" s="126">
        <f>SUM(AK28:AK29)</f>
        <v>3.7399996259999999E-2</v>
      </c>
      <c r="AL27" s="127">
        <f>SUM(AL28:AL29)</f>
        <v>0.40799999591999997</v>
      </c>
      <c r="AM27" s="153" t="str">
        <f t="shared" si="16"/>
        <v xml:space="preserve">-  </v>
      </c>
      <c r="AN27" s="590">
        <f>SUM(AN28:AN29)</f>
        <v>3.7399996259999999E-2</v>
      </c>
      <c r="AO27" s="594">
        <f>SUM(AO28:AO29)</f>
        <v>0.40799999591999997</v>
      </c>
      <c r="AP27" s="126">
        <f>SUM(AP28:AP29)</f>
        <v>3.7399996259999999E-2</v>
      </c>
      <c r="AQ27" s="127">
        <f>SUM(AQ28:AQ29)</f>
        <v>0.40799999591999997</v>
      </c>
      <c r="AR27" s="153" t="str">
        <f t="shared" si="17"/>
        <v xml:space="preserve">-  </v>
      </c>
      <c r="AS27" s="590">
        <f>SUM(AS28:AS29)</f>
        <v>3.7399996259999999E-2</v>
      </c>
      <c r="AT27" s="585">
        <f>SUM(AT28:AT29)</f>
        <v>0.40799999591999997</v>
      </c>
      <c r="AU27" s="126">
        <f>SUM(AU28:AU29)</f>
        <v>3.7399996259999999E-2</v>
      </c>
      <c r="AV27" s="127">
        <f>SUM(AV28:AV29)</f>
        <v>0.40799999591999997</v>
      </c>
      <c r="AW27" s="153" t="str">
        <f t="shared" si="18"/>
        <v xml:space="preserve">-  </v>
      </c>
      <c r="AX27" s="590">
        <f>SUM(AX28:AX29)</f>
        <v>3.7399996259999999E-2</v>
      </c>
      <c r="AY27" s="127">
        <f>SUM(AY28:AY29)</f>
        <v>0.40799999591999997</v>
      </c>
      <c r="AZ27" s="590">
        <f>SUM(AZ28:AZ29)</f>
        <v>3.7399996259999999E-2</v>
      </c>
      <c r="BA27" s="127">
        <f>SUM(BA28:BA29)</f>
        <v>0.40799999591999997</v>
      </c>
      <c r="BB27" s="243" t="str">
        <f t="shared" si="19"/>
        <v xml:space="preserve">-  </v>
      </c>
      <c r="BC27" s="590">
        <f>SUM(BC28:BC29)</f>
        <v>3.7399996259999999E-2</v>
      </c>
      <c r="BD27" s="127">
        <f>SUM(BD28:BD29)</f>
        <v>0.40799999591999997</v>
      </c>
      <c r="BE27" s="590">
        <f>SUM(BE28:BE29)</f>
        <v>3.7399996259999999E-2</v>
      </c>
      <c r="BF27" s="127">
        <f>SUM(BF28:BF29)</f>
        <v>0.40799999591999997</v>
      </c>
      <c r="BG27" s="243" t="str">
        <f t="shared" si="20"/>
        <v xml:space="preserve">-  </v>
      </c>
      <c r="BH27" s="590">
        <f t="shared" ref="BH27:BM27" si="23">SUM(BH28:BH29)</f>
        <v>3.7399996259999999E-2</v>
      </c>
      <c r="BI27" s="594">
        <f t="shared" si="23"/>
        <v>0.40799999591999997</v>
      </c>
      <c r="BJ27" s="126">
        <f>SUM(BJ28:BJ29)</f>
        <v>3.7399996259999999E-2</v>
      </c>
      <c r="BK27" s="127">
        <f>SUM(BK28:BK29)</f>
        <v>0.40799999591999997</v>
      </c>
      <c r="BL27" s="746">
        <f t="shared" si="23"/>
        <v>0</v>
      </c>
      <c r="BM27" s="127">
        <f t="shared" si="23"/>
        <v>0</v>
      </c>
      <c r="BN27" s="314"/>
      <c r="BO27" s="314"/>
      <c r="BP27" s="314"/>
    </row>
    <row r="28" spans="1:68" x14ac:dyDescent="0.25">
      <c r="A28" s="195"/>
      <c r="B28" s="42" t="s">
        <v>21</v>
      </c>
      <c r="C28" s="42" t="s">
        <v>22</v>
      </c>
      <c r="D28" s="43" t="s">
        <v>109</v>
      </c>
      <c r="E28" s="128">
        <f>Nabídka!F23</f>
        <v>3.6666663000000002E-2</v>
      </c>
      <c r="F28" s="129">
        <f>Nabídka!H23</f>
        <v>0.39999999599999997</v>
      </c>
      <c r="G28" s="128">
        <f>IF(AND(DAY(Postup!$H$24)=1,MONTH(Postup!$H$24)=1),0,E28*Výpočty!$E$17)</f>
        <v>2.7525111402739728E-2</v>
      </c>
      <c r="H28" s="129">
        <f>IF(AND(DAY(Postup!$H$24)=1,MONTH(Postup!$H$24)=1),0,F28*Výpočty!$E$17)</f>
        <v>0.30027396959999997</v>
      </c>
      <c r="I28" s="128">
        <f>IF(I$16="Neaktivní",0,IF(ISBLANK($J$17),0,IF(AND(DAY(Postup!$H$24)=1,MONTH(Postup!$H$24)=1),E28,G28)))</f>
        <v>0</v>
      </c>
      <c r="J28" s="129">
        <f>IF(I$16="Neaktivní",0,IF(ISBLANK($J$17),0,IF(AND(DAY(Postup!$H$24)=1,MONTH(Postup!$H$24)=1),F28,H28)))</f>
        <v>0</v>
      </c>
      <c r="K28" s="939" t="s">
        <v>119</v>
      </c>
      <c r="L28" s="939"/>
      <c r="M28" s="940"/>
      <c r="N28" s="153">
        <f t="shared" si="11"/>
        <v>1.04</v>
      </c>
      <c r="O28" s="133">
        <f>Nabídka!J23*Provozování!O49*Provozování!N28/1000</f>
        <v>3.8133329520000002E-2</v>
      </c>
      <c r="P28" s="588">
        <f>Nabídka!K23*(Provozování!P51+Provozování!P53)*Provozování!N28/1000</f>
        <v>0.41599999583999991</v>
      </c>
      <c r="Q28" s="128">
        <f>IF(Q16="Neaktivní",0,IF(ISBLANK(R$17),0,O28))</f>
        <v>0</v>
      </c>
      <c r="R28" s="129">
        <f>IF(Q16="Neaktivní",0,IF(ISBLANK(R$17),0,P28))</f>
        <v>0</v>
      </c>
      <c r="S28" s="243">
        <f t="shared" si="12"/>
        <v>1.02</v>
      </c>
      <c r="T28" s="133">
        <f>Nabídka!$J$23*Provozování!T49*Provozování!S28/1000</f>
        <v>3.7399996259999999E-2</v>
      </c>
      <c r="U28" s="588">
        <f>Nabídka!$K$23*(Provozování!U51+Provozování!U53)*Provozování!S28/1000</f>
        <v>0.40799999591999997</v>
      </c>
      <c r="V28" s="128">
        <f>IF(W17="Neaktivní",0,IF(ISBLANK(V$16),0,T28))</f>
        <v>3.7399996259999999E-2</v>
      </c>
      <c r="W28" s="129">
        <f>IF(W17="Neaktivní",0,IF(ISBLANK(V$16),0,U28))</f>
        <v>0.40799999591999997</v>
      </c>
      <c r="X28" s="153">
        <f t="shared" si="13"/>
        <v>1.02</v>
      </c>
      <c r="Y28" s="133">
        <f>Nabídka!$J$23*Provozování!Y49*Provozování!X28/1000</f>
        <v>3.7399996259999999E-2</v>
      </c>
      <c r="Z28" s="588">
        <f>Nabídka!$K$23*(Provozování!Z51+Provozování!Z53)*Provozování!X28/1000</f>
        <v>0.40799999591999997</v>
      </c>
      <c r="AA28" s="128">
        <f>IF(AB17="Neaktivní",0,IF(ISBLANK(AA$16),0,Y28))</f>
        <v>3.7399996259999999E-2</v>
      </c>
      <c r="AB28" s="129">
        <f>IF(AB17="Neaktivní",0,IF(ISBLANK(AA$16),0,Z28))</f>
        <v>0.40799999591999997</v>
      </c>
      <c r="AC28" s="153">
        <f t="shared" si="14"/>
        <v>1.02</v>
      </c>
      <c r="AD28" s="133">
        <f>Nabídka!$J$23*Provozování!AD49*Provozování!AC28/1000</f>
        <v>3.7399996259999999E-2</v>
      </c>
      <c r="AE28" s="588">
        <f>Nabídka!$K$23*(Provozování!AE51+Provozování!AE53)*Provozování!AC28/1000</f>
        <v>0.40799999591999997</v>
      </c>
      <c r="AF28" s="128">
        <f>IF(AG17="Neaktivní",0,IF(ISBLANK(AF$16),0,AD28))</f>
        <v>3.7399996259999999E-2</v>
      </c>
      <c r="AG28" s="129">
        <f>IF(AG17="Neaktivní",0,IF(ISBLANK(AF$16),0,AE28))</f>
        <v>0.40799999591999997</v>
      </c>
      <c r="AH28" s="153">
        <f t="shared" si="15"/>
        <v>1.02</v>
      </c>
      <c r="AI28" s="133">
        <f>Nabídka!$J$23*Provozování!AI49*Provozování!AH28/1000</f>
        <v>3.7399996259999999E-2</v>
      </c>
      <c r="AJ28" s="588">
        <f>Nabídka!$K$23*(Provozování!AJ51+Provozování!AJ53)*Provozování!AH28/1000</f>
        <v>0.40799999591999997</v>
      </c>
      <c r="AK28" s="128">
        <f>IF(AL17="Neaktivní",0,IF(ISBLANK(AK$16),0,AI28))</f>
        <v>3.7399996259999999E-2</v>
      </c>
      <c r="AL28" s="129">
        <f>IF(AL17="Neaktivní",0,IF(ISBLANK(AK$16),0,AJ28))</f>
        <v>0.40799999591999997</v>
      </c>
      <c r="AM28" s="153">
        <f t="shared" si="16"/>
        <v>1.02</v>
      </c>
      <c r="AN28" s="133">
        <f>Nabídka!$J$23*Provozování!AN49*Provozování!AM28/1000</f>
        <v>3.7399996259999999E-2</v>
      </c>
      <c r="AO28" s="588">
        <f>Nabídka!$K$23*(Provozování!AO51+Provozování!AO53)*Provozování!AM28/1000</f>
        <v>0.40799999591999997</v>
      </c>
      <c r="AP28" s="128">
        <f>IF(AQ17="Neaktivní",0,IF(ISBLANK(AP$16),0,AN28))</f>
        <v>3.7399996259999999E-2</v>
      </c>
      <c r="AQ28" s="129">
        <f>IF(AQ17="Neaktivní",0,IF(ISBLANK(AP$16),0,AO28))</f>
        <v>0.40799999591999997</v>
      </c>
      <c r="AR28" s="153">
        <f t="shared" si="17"/>
        <v>1.02</v>
      </c>
      <c r="AS28" s="133">
        <f>Nabídka!$J$23*Provozování!AS49*Provozování!AR28/1000</f>
        <v>3.7399996259999999E-2</v>
      </c>
      <c r="AT28" s="586">
        <f>Nabídka!$K$23*(Provozování!AT51+Provozování!AT53)*Provozování!AR28/1000</f>
        <v>0.40799999591999997</v>
      </c>
      <c r="AU28" s="128">
        <f>IF(AV17="Neaktivní",0,IF(ISBLANK(AU$16),0,AS28))</f>
        <v>3.7399996259999999E-2</v>
      </c>
      <c r="AV28" s="129">
        <f>IF(AV17="Neaktivní",0,IF(ISBLANK(AU$16),0,AT28))</f>
        <v>0.40799999591999997</v>
      </c>
      <c r="AW28" s="153">
        <f t="shared" si="18"/>
        <v>1.02</v>
      </c>
      <c r="AX28" s="133">
        <f>Nabídka!$J$23*Provozování!AX49*Provozování!AW28/1000</f>
        <v>3.7399996259999999E-2</v>
      </c>
      <c r="AY28" s="129">
        <f>Nabídka!$K$23*(Provozování!AY51+Provozování!AY53)*Provozování!AW28/1000</f>
        <v>0.40799999591999997</v>
      </c>
      <c r="AZ28" s="133">
        <f>IF(BA17="Neaktivní",0,IF(ISBLANK(AZ$16),0,AX28))</f>
        <v>3.7399996259999999E-2</v>
      </c>
      <c r="BA28" s="129">
        <f>IF(BA17="Neaktivní",0,IF(ISBLANK(AZ$16),0,AY28))</f>
        <v>0.40799999591999997</v>
      </c>
      <c r="BB28" s="243">
        <f t="shared" si="19"/>
        <v>1.02</v>
      </c>
      <c r="BC28" s="133">
        <f>Nabídka!$J$23*Provozování!BC49*Provozování!BB28/1000</f>
        <v>3.7399996259999999E-2</v>
      </c>
      <c r="BD28" s="129">
        <f>Nabídka!$K$23*(Provozování!BD51+Provozování!BD53)*Provozování!BB28/1000</f>
        <v>0.40799999591999997</v>
      </c>
      <c r="BE28" s="133">
        <f>IF(BF17="Neaktivní",0,IF(ISBLANK(BE$16),0,BC28))</f>
        <v>3.7399996259999999E-2</v>
      </c>
      <c r="BF28" s="129">
        <f>IF(BF17="Neaktivní",0,IF(ISBLANK(BE$16),0,BD28))</f>
        <v>0.40799999591999997</v>
      </c>
      <c r="BG28" s="243">
        <f t="shared" si="20"/>
        <v>1.02</v>
      </c>
      <c r="BH28" s="133">
        <f>Nabídka!$J$23*Provozování!BH49*Provozování!BG28/1000</f>
        <v>3.7399996259999999E-2</v>
      </c>
      <c r="BI28" s="588">
        <f>Nabídka!$K$23*(Provozování!BI51+Provozování!BI53)*Provozování!BG28/1000</f>
        <v>0.40799999591999997</v>
      </c>
      <c r="BJ28" s="128">
        <f>IF(BK17="Neaktivní",0,IF(ISBLANK(BJ$16),0,BH28))</f>
        <v>3.7399996259999999E-2</v>
      </c>
      <c r="BK28" s="129">
        <f>IF(BK17="Neaktivní",0,IF(ISBLANK(BJ$16),0,BI28))</f>
        <v>0.40799999591999997</v>
      </c>
      <c r="BL28" s="745">
        <f>IF(AND(DAY(Postup!$H$25)=31,MONTH(Postup!$H$25)=12),0,INDEX($E28:$BP28,MATCH($BL$57,$E$57:$BP$57,0))*Výpočty!$E$23)</f>
        <v>0</v>
      </c>
      <c r="BM28" s="129">
        <f>IF(AND(DAY(Postup!$H$25)=31,MONTH(Postup!$H$25)=12),0,INDEX($E28:$BP28,MATCH($BM$57,$E$57:$BP$57,0))*Výpočty!$E$23)</f>
        <v>0</v>
      </c>
      <c r="BN28" s="147"/>
      <c r="BO28" s="147"/>
      <c r="BP28" s="147"/>
    </row>
    <row r="29" spans="1:68" x14ac:dyDescent="0.25">
      <c r="A29" s="195"/>
      <c r="B29" s="42" t="s">
        <v>23</v>
      </c>
      <c r="C29" s="42" t="s">
        <v>24</v>
      </c>
      <c r="D29" s="43" t="s">
        <v>109</v>
      </c>
      <c r="E29" s="128">
        <f>Nabídka!F24</f>
        <v>0</v>
      </c>
      <c r="F29" s="129">
        <f>Nabídka!H24</f>
        <v>0</v>
      </c>
      <c r="G29" s="128">
        <f>IF(AND(DAY(Postup!$H$24)=1,MONTH(Postup!$H$24)=1),0,E29*Výpočty!$E$17)</f>
        <v>0</v>
      </c>
      <c r="H29" s="129">
        <f>IF(AND(DAY(Postup!$H$24)=1,MONTH(Postup!$H$24)=1),0,F29*Výpočty!$E$17)</f>
        <v>0</v>
      </c>
      <c r="I29" s="128">
        <f>IF(I$16="Neaktivní",0,IF(ISBLANK($J$17),0,IF(AND(DAY(Postup!$H$24)=1,MONTH(Postup!$H$24)=1),E29,G29)))</f>
        <v>0</v>
      </c>
      <c r="J29" s="129">
        <f>IF(I$16="Neaktivní",0,IF(ISBLANK($J$17),0,IF(AND(DAY(Postup!$H$24)=1,MONTH(Postup!$H$24)=1),F29,H29)))</f>
        <v>0</v>
      </c>
      <c r="K29" s="939" t="s">
        <v>120</v>
      </c>
      <c r="L29" s="939"/>
      <c r="M29" s="940"/>
      <c r="N29" s="153">
        <f t="shared" si="11"/>
        <v>1.04</v>
      </c>
      <c r="O29" s="133">
        <f>($E29+(Nabídka!$J24*O$58*$E$49/1000))*N29</f>
        <v>0</v>
      </c>
      <c r="P29" s="588">
        <f>($F29+(Nabídka!$K24*P$58*($F$51+$F$53)/1000))*N29</f>
        <v>0</v>
      </c>
      <c r="Q29" s="128">
        <f>IF(Q16="Neaktivní",0,IF(ISBLANK(R17),0,O29))</f>
        <v>0</v>
      </c>
      <c r="R29" s="129">
        <f>IF(Q16="Neaktivní",0,IF(ISBLANK(R17),0,P29))</f>
        <v>0</v>
      </c>
      <c r="S29" s="243">
        <f t="shared" si="12"/>
        <v>1.02</v>
      </c>
      <c r="T29" s="133">
        <f>($E29+(Nabídka!$J24*T$58*$E$49/1000))*S29</f>
        <v>0</v>
      </c>
      <c r="U29" s="588">
        <f>($F29+(Nabídka!$K24*U$58*($F$51+$F$53)/1000))*S29</f>
        <v>0</v>
      </c>
      <c r="V29" s="128">
        <f>IF(V16="Neaktivní",0,IF(ISBLANK(W17),0,T29))</f>
        <v>0</v>
      </c>
      <c r="W29" s="129">
        <f>IF(V16="Neaktivní",0,IF(ISBLANK(W17),0,U29))</f>
        <v>0</v>
      </c>
      <c r="X29" s="153">
        <f t="shared" si="13"/>
        <v>1.02</v>
      </c>
      <c r="Y29" s="133">
        <f>($E29+(Nabídka!$J24*Y$58*$E$49/1000))*X29</f>
        <v>0</v>
      </c>
      <c r="Z29" s="588">
        <f>($F29+(Nabídka!$K24*Z$58*($F$51+$F$53)/1000))*X29</f>
        <v>0</v>
      </c>
      <c r="AA29" s="128">
        <f>IF(AA16="Neaktivní",0,IF(ISBLANK(AB17),0,Y29))</f>
        <v>0</v>
      </c>
      <c r="AB29" s="129">
        <f>IF(AA16="Neaktivní",0,IF(ISBLANK(AB17),0,Z29))</f>
        <v>0</v>
      </c>
      <c r="AC29" s="153">
        <f t="shared" si="14"/>
        <v>1.02</v>
      </c>
      <c r="AD29" s="133">
        <f>($E29+(Nabídka!$J24*AD$58*$E$49/1000))*AC29</f>
        <v>0</v>
      </c>
      <c r="AE29" s="588">
        <f>($F29+(Nabídka!$K24*AE$58*($F$51+$F$53)/1000))*AC29</f>
        <v>0</v>
      </c>
      <c r="AF29" s="128">
        <f>IF(AF16="Neaktivní",0,IF(ISBLANK(AG17),0,AD29))</f>
        <v>0</v>
      </c>
      <c r="AG29" s="129">
        <f>IF(AF16="Neaktivní",0,IF(ISBLANK(AG17),0,AE29))</f>
        <v>0</v>
      </c>
      <c r="AH29" s="153">
        <f t="shared" si="15"/>
        <v>1.02</v>
      </c>
      <c r="AI29" s="133">
        <f>($E29+(Nabídka!$J24*AI$58*$E$49/1000))*AH29</f>
        <v>0</v>
      </c>
      <c r="AJ29" s="588">
        <f>($F29+(Nabídka!$K24*AJ$58*($F$51+$F$53)/1000))*AH29</f>
        <v>0</v>
      </c>
      <c r="AK29" s="128">
        <f>IF(AK16="Neaktivní",0,IF(ISBLANK(AL17),0,AI29))</f>
        <v>0</v>
      </c>
      <c r="AL29" s="129">
        <f>IF(AK16="Neaktivní",0,IF(ISBLANK(AL17),0,AJ29))</f>
        <v>0</v>
      </c>
      <c r="AM29" s="153">
        <f t="shared" si="16"/>
        <v>1.02</v>
      </c>
      <c r="AN29" s="133">
        <f>($E29+(Nabídka!$J24*AN$58*$E$49/1000))*AM29</f>
        <v>0</v>
      </c>
      <c r="AO29" s="588">
        <f>($F29+(Nabídka!$K24*AO$58*($F$51+$F$53)/1000))*AM29</f>
        <v>0</v>
      </c>
      <c r="AP29" s="128">
        <f>IF(AP16="Neaktivní",0,IF(ISBLANK(AQ17),0,AN29))</f>
        <v>0</v>
      </c>
      <c r="AQ29" s="129">
        <f>IF(AP16="Neaktivní",0,IF(ISBLANK(AQ17),0,AO29))</f>
        <v>0</v>
      </c>
      <c r="AR29" s="153">
        <f t="shared" si="17"/>
        <v>1.02</v>
      </c>
      <c r="AS29" s="133">
        <f>($E29+(Nabídka!$J24*AS$58*$E$49/1000))*AR29</f>
        <v>0</v>
      </c>
      <c r="AT29" s="586">
        <f>($F29+(Nabídka!$K24*AT$58*($F$51+$F$53)/1000))*AR29</f>
        <v>0</v>
      </c>
      <c r="AU29" s="128">
        <f>IF(AU16="Neaktivní",0,IF(ISBLANK(AV17),0,AS29))</f>
        <v>0</v>
      </c>
      <c r="AV29" s="129">
        <f>IF(AU16="Neaktivní",0,IF(ISBLANK(AV17),0,AT29))</f>
        <v>0</v>
      </c>
      <c r="AW29" s="153">
        <f t="shared" si="18"/>
        <v>1.02</v>
      </c>
      <c r="AX29" s="133">
        <f>($E29+(Nabídka!$J24*AX$58*$E$49/1000))*AW29</f>
        <v>0</v>
      </c>
      <c r="AY29" s="129">
        <f>($F29+(Nabídka!$K24*AY$58*($F$51+$F$53)/1000))*AW29</f>
        <v>0</v>
      </c>
      <c r="AZ29" s="133">
        <f>IF(AZ16="Neaktivní",0,IF(ISBLANK(BA17),0,AX29))</f>
        <v>0</v>
      </c>
      <c r="BA29" s="129">
        <f>IF(AZ16="Neaktivní",0,IF(ISBLANK(BA17),0,AY29))</f>
        <v>0</v>
      </c>
      <c r="BB29" s="243">
        <f t="shared" si="19"/>
        <v>1.02</v>
      </c>
      <c r="BC29" s="133">
        <f>($E29+(Nabídka!$J24*BC$58*$E$49/1000))*BB29</f>
        <v>0</v>
      </c>
      <c r="BD29" s="129">
        <f>($F29+(Nabídka!$K24*BD$58*($F$51+$F$53)/1000))*BB29</f>
        <v>0</v>
      </c>
      <c r="BE29" s="133">
        <f>IF(BE16="Neaktivní",0,IF(ISBLANK(BF17),0,BC29))</f>
        <v>0</v>
      </c>
      <c r="BF29" s="129">
        <f>IF(BE16="Neaktivní",0,IF(ISBLANK(BF17),0,BD29))</f>
        <v>0</v>
      </c>
      <c r="BG29" s="243">
        <f t="shared" si="20"/>
        <v>1.02</v>
      </c>
      <c r="BH29" s="133">
        <f>($E29+(Nabídka!$J24*BH$58*$E$49/1000))*BG29</f>
        <v>0</v>
      </c>
      <c r="BI29" s="588">
        <f>($F29+(Nabídka!$K24*BI$58*($F$51+$F$53)/1000))*BG29</f>
        <v>0</v>
      </c>
      <c r="BJ29" s="128">
        <f>IF(BJ16="Neaktivní",0,IF(ISBLANK(BK17),0,BH29))</f>
        <v>0</v>
      </c>
      <c r="BK29" s="129">
        <f>IF(BJ16="Neaktivní",0,IF(ISBLANK(BK17),0,BI29))</f>
        <v>0</v>
      </c>
      <c r="BL29" s="745">
        <f>IF(AND(DAY(Postup!$H$25)=31,MONTH(Postup!$H$25)=12),0,INDEX($E29:$BP29,MATCH($BL$57,$E$57:$BP$57,0))*Výpočty!$E$23)</f>
        <v>0</v>
      </c>
      <c r="BM29" s="129">
        <f>IF(AND(DAY(Postup!$H$25)=31,MONTH(Postup!$H$25)=12),0,INDEX($E29:$BP29,MATCH($BM$57,$E$57:$BP$57,0))*Výpočty!$E$23)</f>
        <v>0</v>
      </c>
      <c r="BN29" s="147"/>
      <c r="BO29" s="147"/>
      <c r="BP29" s="147"/>
    </row>
    <row r="30" spans="1:68" x14ac:dyDescent="0.25">
      <c r="A30" s="195"/>
      <c r="B30" s="39" t="s">
        <v>25</v>
      </c>
      <c r="C30" s="40" t="s">
        <v>400</v>
      </c>
      <c r="D30" s="154" t="s">
        <v>109</v>
      </c>
      <c r="E30" s="126">
        <f t="shared" ref="E30:J30" si="24">SUM(E31:E32)</f>
        <v>6.6666599999999996E-3</v>
      </c>
      <c r="F30" s="127">
        <f t="shared" si="24"/>
        <v>0.25</v>
      </c>
      <c r="G30" s="126">
        <f t="shared" si="24"/>
        <v>5.0045612054794523E-3</v>
      </c>
      <c r="H30" s="127">
        <f t="shared" si="24"/>
        <v>0.18767123287671234</v>
      </c>
      <c r="I30" s="126">
        <f t="shared" si="24"/>
        <v>0</v>
      </c>
      <c r="J30" s="127">
        <f t="shared" si="24"/>
        <v>0</v>
      </c>
      <c r="K30" s="933"/>
      <c r="L30" s="933"/>
      <c r="M30" s="934"/>
      <c r="N30" s="153" t="str">
        <f t="shared" si="11"/>
        <v xml:space="preserve">-  </v>
      </c>
      <c r="O30" s="590">
        <f>SUM(O31:O32)</f>
        <v>6.9333264000000002E-3</v>
      </c>
      <c r="P30" s="594">
        <f>SUM(P31:P32)</f>
        <v>0.26</v>
      </c>
      <c r="Q30" s="126">
        <f>SUM(Q31:Q32)</f>
        <v>0</v>
      </c>
      <c r="R30" s="127">
        <f>SUM(R31:R32)</f>
        <v>0</v>
      </c>
      <c r="S30" s="243" t="str">
        <f t="shared" si="12"/>
        <v xml:space="preserve">-  </v>
      </c>
      <c r="T30" s="590">
        <f>SUM(T31:T32)</f>
        <v>6.7999931999999999E-3</v>
      </c>
      <c r="U30" s="594">
        <f>SUM(U31:U32)</f>
        <v>0.255</v>
      </c>
      <c r="V30" s="126">
        <f>SUM(V31:V32)</f>
        <v>0</v>
      </c>
      <c r="W30" s="127">
        <f>SUM(W31:W32)</f>
        <v>0</v>
      </c>
      <c r="X30" s="153" t="str">
        <f t="shared" si="13"/>
        <v xml:space="preserve">-  </v>
      </c>
      <c r="Y30" s="590">
        <f>SUM(Y31:Y32)</f>
        <v>6.7999931999999999E-3</v>
      </c>
      <c r="Z30" s="594">
        <f>SUM(Z31:Z32)</f>
        <v>0.255</v>
      </c>
      <c r="AA30" s="126">
        <f>SUM(AA31:AA32)</f>
        <v>0</v>
      </c>
      <c r="AB30" s="127">
        <f>SUM(AB31:AB32)</f>
        <v>0</v>
      </c>
      <c r="AC30" s="153" t="str">
        <f t="shared" si="14"/>
        <v xml:space="preserve">-  </v>
      </c>
      <c r="AD30" s="590">
        <f>SUM(AD31:AD32)</f>
        <v>6.7999931999999999E-3</v>
      </c>
      <c r="AE30" s="594">
        <f>SUM(AE31:AE32)</f>
        <v>0.255</v>
      </c>
      <c r="AF30" s="126">
        <f>SUM(AF31:AF32)</f>
        <v>0</v>
      </c>
      <c r="AG30" s="127">
        <f>SUM(AG31:AG32)</f>
        <v>0</v>
      </c>
      <c r="AH30" s="153" t="str">
        <f t="shared" si="15"/>
        <v xml:space="preserve">-  </v>
      </c>
      <c r="AI30" s="590">
        <f>SUM(AI31:AI32)</f>
        <v>6.7999931999999999E-3</v>
      </c>
      <c r="AJ30" s="594">
        <f>SUM(AJ31:AJ32)</f>
        <v>0.255</v>
      </c>
      <c r="AK30" s="126">
        <f>SUM(AK31:AK32)</f>
        <v>0</v>
      </c>
      <c r="AL30" s="127">
        <f>SUM(AL31:AL32)</f>
        <v>0</v>
      </c>
      <c r="AM30" s="153" t="str">
        <f t="shared" si="16"/>
        <v xml:space="preserve">-  </v>
      </c>
      <c r="AN30" s="590">
        <f>SUM(AN31:AN32)</f>
        <v>6.7999931999999999E-3</v>
      </c>
      <c r="AO30" s="594">
        <f>SUM(AO31:AO32)</f>
        <v>0.255</v>
      </c>
      <c r="AP30" s="126">
        <f>SUM(AP31:AP32)</f>
        <v>0</v>
      </c>
      <c r="AQ30" s="127">
        <f>SUM(AQ31:AQ32)</f>
        <v>0</v>
      </c>
      <c r="AR30" s="153" t="str">
        <f t="shared" si="17"/>
        <v xml:space="preserve">-  </v>
      </c>
      <c r="AS30" s="590">
        <f>SUM(AS31:AS32)</f>
        <v>6.7999931999999999E-3</v>
      </c>
      <c r="AT30" s="585">
        <f>SUM(AT31:AT32)</f>
        <v>0.255</v>
      </c>
      <c r="AU30" s="126">
        <f>SUM(AU31:AU32)</f>
        <v>0</v>
      </c>
      <c r="AV30" s="127">
        <f>SUM(AV31:AV32)</f>
        <v>0</v>
      </c>
      <c r="AW30" s="153" t="str">
        <f t="shared" si="18"/>
        <v xml:space="preserve">-  </v>
      </c>
      <c r="AX30" s="590">
        <f>SUM(AX31:AX32)</f>
        <v>6.7999931999999999E-3</v>
      </c>
      <c r="AY30" s="594">
        <f>SUM(AY31:AY32)</f>
        <v>0.255</v>
      </c>
      <c r="AZ30" s="126">
        <f>SUM(AZ31:AZ32)</f>
        <v>0</v>
      </c>
      <c r="BA30" s="127">
        <f>SUM(BA31:BA32)</f>
        <v>0</v>
      </c>
      <c r="BB30" s="243" t="str">
        <f t="shared" si="19"/>
        <v xml:space="preserve">-  </v>
      </c>
      <c r="BC30" s="590">
        <f>SUM(BC31:BC32)</f>
        <v>6.7999931999999999E-3</v>
      </c>
      <c r="BD30" s="127">
        <f>SUM(BD31:BD32)</f>
        <v>0.255</v>
      </c>
      <c r="BE30" s="590">
        <f>SUM(BE31:BE32)</f>
        <v>0</v>
      </c>
      <c r="BF30" s="127">
        <f>SUM(BF31:BF32)</f>
        <v>0</v>
      </c>
      <c r="BG30" s="243" t="str">
        <f t="shared" si="20"/>
        <v xml:space="preserve">-  </v>
      </c>
      <c r="BH30" s="590">
        <f t="shared" ref="BH30:BM30" si="25">SUM(BH31:BH32)</f>
        <v>6.7999931999999999E-3</v>
      </c>
      <c r="BI30" s="594">
        <f t="shared" si="25"/>
        <v>0.255</v>
      </c>
      <c r="BJ30" s="126">
        <f>SUM(BJ31:BJ32)</f>
        <v>0</v>
      </c>
      <c r="BK30" s="127">
        <f>SUM(BK31:BK32)</f>
        <v>0</v>
      </c>
      <c r="BL30" s="746">
        <f t="shared" si="25"/>
        <v>0</v>
      </c>
      <c r="BM30" s="127">
        <f t="shared" si="25"/>
        <v>0</v>
      </c>
      <c r="BN30" s="314"/>
      <c r="BO30" s="314"/>
      <c r="BP30" s="314"/>
    </row>
    <row r="31" spans="1:68" x14ac:dyDescent="0.25">
      <c r="A31" s="195"/>
      <c r="B31" s="42" t="s">
        <v>26</v>
      </c>
      <c r="C31" s="45" t="s">
        <v>390</v>
      </c>
      <c r="D31" s="43" t="s">
        <v>109</v>
      </c>
      <c r="E31" s="128">
        <f>Nabídka!F26</f>
        <v>6.6666599999999996E-3</v>
      </c>
      <c r="F31" s="129">
        <f>Nabídka!H26</f>
        <v>0.2</v>
      </c>
      <c r="G31" s="128">
        <f>IF(AND(DAY(Postup!$H$24)=1,MONTH(Postup!$H$24)=1),0,E31*Výpočty!$E$17)</f>
        <v>5.0045612054794523E-3</v>
      </c>
      <c r="H31" s="129">
        <f>IF(AND(DAY(Postup!$H$24)=1,MONTH(Postup!$H$24)=1),0,F31*Výpočty!$E$17)</f>
        <v>0.15013698630136987</v>
      </c>
      <c r="I31" s="128">
        <f>IF(I$16="Neaktivní",0,IF(ISBLANK($J$17),0,IF(AND(DAY(Postup!$H$24)=1,MONTH(Postup!$H$24)=1),E31,G31)))</f>
        <v>0</v>
      </c>
      <c r="J31" s="129">
        <f>IF(I$16="Neaktivní",0,IF(ISBLANK($J$17),0,IF(AND(DAY(Postup!$H$24)=1,MONTH(Postup!$H$24)=1),F31,H31)))</f>
        <v>0</v>
      </c>
      <c r="K31" s="939" t="s">
        <v>121</v>
      </c>
      <c r="L31" s="939"/>
      <c r="M31" s="940"/>
      <c r="N31" s="153">
        <f t="shared" si="11"/>
        <v>1.04</v>
      </c>
      <c r="O31" s="133">
        <f>($E31+(Nabídka!$J26*O$58*$E$49/1000))*N31</f>
        <v>6.9333264000000002E-3</v>
      </c>
      <c r="P31" s="588">
        <f>($F31+(Nabídka!$K26*P$58*($F$51+$F$53)/1000))*N31</f>
        <v>0.20800000000000002</v>
      </c>
      <c r="Q31" s="128">
        <f>IF(Q16="Neaktivní",0,IF(ISBLANK(R17),0,O31))</f>
        <v>0</v>
      </c>
      <c r="R31" s="129">
        <f>IF(Q16="Neaktivní",0,IF(ISBLANK(R17),0,P31))</f>
        <v>0</v>
      </c>
      <c r="S31" s="243">
        <f t="shared" si="12"/>
        <v>1.02</v>
      </c>
      <c r="T31" s="133">
        <f>($E31+(Nabídka!$J26*T$58*$E$49/1000))*S31</f>
        <v>6.7999931999999999E-3</v>
      </c>
      <c r="U31" s="588">
        <f>($F31+(Nabídka!$K26*U$58*($F$51+$F$53)/1000))*S31</f>
        <v>0.20400000000000001</v>
      </c>
      <c r="V31" s="128">
        <f>IF(V16="Neaktivní",0,IF(ISBLANK(W17),0,T31))</f>
        <v>0</v>
      </c>
      <c r="W31" s="129">
        <f>IF(V16="Neaktivní",0,IF(ISBLANK(W17),0,U31))</f>
        <v>0</v>
      </c>
      <c r="X31" s="153">
        <f t="shared" si="13"/>
        <v>1.02</v>
      </c>
      <c r="Y31" s="133">
        <f>($E31+(Nabídka!$J26*Y$58*$E$49/1000))*X31</f>
        <v>6.7999931999999999E-3</v>
      </c>
      <c r="Z31" s="588">
        <f>($F31+(Nabídka!$K26*Z$58*($F$51+$F$53)/1000))*X31</f>
        <v>0.20400000000000001</v>
      </c>
      <c r="AA31" s="128">
        <f>IF(AA16="Neaktivní",0,IF(ISBLANK(AB17),0,Y31))</f>
        <v>0</v>
      </c>
      <c r="AB31" s="129">
        <f>IF(AA16="Neaktivní",0,IF(ISBLANK(AB17),0,Z31))</f>
        <v>0</v>
      </c>
      <c r="AC31" s="153">
        <f t="shared" si="14"/>
        <v>1.02</v>
      </c>
      <c r="AD31" s="133">
        <f>($E31+(Nabídka!$J26*AD$58*$E$49/1000))*AC31</f>
        <v>6.7999931999999999E-3</v>
      </c>
      <c r="AE31" s="588">
        <f>($F31+(Nabídka!$K26*AE$58*($F$51+$F$53)/1000))*AC31</f>
        <v>0.20400000000000001</v>
      </c>
      <c r="AF31" s="128">
        <f>IF(AF16="Neaktivní",0,IF(ISBLANK(AG17),0,AD31))</f>
        <v>0</v>
      </c>
      <c r="AG31" s="129">
        <f>IF(AF16="Neaktivní",0,IF(ISBLANK(AG17),0,AE31))</f>
        <v>0</v>
      </c>
      <c r="AH31" s="153">
        <f t="shared" si="15"/>
        <v>1.02</v>
      </c>
      <c r="AI31" s="133">
        <f>($E31+(Nabídka!$J26*AI$58*$E$49/1000))*AH31</f>
        <v>6.7999931999999999E-3</v>
      </c>
      <c r="AJ31" s="588">
        <f>($F31+(Nabídka!$K26*AJ$58*($F$51+$F$53)/1000))*AH31</f>
        <v>0.20400000000000001</v>
      </c>
      <c r="AK31" s="128">
        <f>IF(AK16="Neaktivní",0,IF(ISBLANK(AL17),0,AI31))</f>
        <v>0</v>
      </c>
      <c r="AL31" s="129">
        <f>IF(AK16="Neaktivní",0,IF(ISBLANK(AL17),0,AJ31))</f>
        <v>0</v>
      </c>
      <c r="AM31" s="153">
        <f t="shared" si="16"/>
        <v>1.02</v>
      </c>
      <c r="AN31" s="133">
        <f>($E31+(Nabídka!$J26*AN$58*$E$49/1000))*AM31</f>
        <v>6.7999931999999999E-3</v>
      </c>
      <c r="AO31" s="588">
        <f>($F31+(Nabídka!$K26*AO$58*($F$51+$F$53)/1000))*AM31</f>
        <v>0.20400000000000001</v>
      </c>
      <c r="AP31" s="128">
        <f>IF(AP16="Neaktivní",0,IF(ISBLANK(AQ17),0,AN31))</f>
        <v>0</v>
      </c>
      <c r="AQ31" s="129">
        <f>IF(AP16="Neaktivní",0,IF(ISBLANK(AQ17),0,AO31))</f>
        <v>0</v>
      </c>
      <c r="AR31" s="153">
        <f t="shared" si="17"/>
        <v>1.02</v>
      </c>
      <c r="AS31" s="133">
        <f>($E31+(Nabídka!$J26*AS$58*$E$49/1000))*AR31</f>
        <v>6.7999931999999999E-3</v>
      </c>
      <c r="AT31" s="586">
        <f>($F31+(Nabídka!$K26*AT$58*($F$51+$F$53)/1000))*AR31</f>
        <v>0.20400000000000001</v>
      </c>
      <c r="AU31" s="128">
        <f>IF(AU16="Neaktivní",0,IF(ISBLANK(AV17),0,AS31))</f>
        <v>0</v>
      </c>
      <c r="AV31" s="129">
        <f>IF(AU16="Neaktivní",0,IF(ISBLANK(AV17),0,AT31))</f>
        <v>0</v>
      </c>
      <c r="AW31" s="153">
        <f t="shared" si="18"/>
        <v>1.02</v>
      </c>
      <c r="AX31" s="133">
        <f>($E31+(Nabídka!$J26*AX$58*$E$49/1000))*AW31</f>
        <v>6.7999931999999999E-3</v>
      </c>
      <c r="AY31" s="588">
        <f>($F31+(Nabídka!$K26*AY$58*($F$51+$F$53)/1000))*AW31</f>
        <v>0.20400000000000001</v>
      </c>
      <c r="AZ31" s="128">
        <f>IF(AZ16="Neaktivní",0,IF(ISBLANK(BA17),0,AX31))</f>
        <v>0</v>
      </c>
      <c r="BA31" s="129">
        <f>IF(AZ16="Neaktivní",0,IF(ISBLANK(BA17),0,AY31))</f>
        <v>0</v>
      </c>
      <c r="BB31" s="243">
        <f t="shared" si="19"/>
        <v>1.02</v>
      </c>
      <c r="BC31" s="133">
        <f>($E31+(Nabídka!$J26*BC$58*$E$49/1000))*BB31</f>
        <v>6.7999931999999999E-3</v>
      </c>
      <c r="BD31" s="588">
        <f>($F31+(Nabídka!$K26*BD$58*($F$51+$F$53)/1000))*BB31</f>
        <v>0.20400000000000001</v>
      </c>
      <c r="BE31" s="128">
        <f>IF(BE16="Neaktivní",0,IF(ISBLANK(BF17),0,BC31))</f>
        <v>0</v>
      </c>
      <c r="BF31" s="129">
        <f>IF(BE16="Neaktivní",0,IF(ISBLANK(BF17),0,BD31))</f>
        <v>0</v>
      </c>
      <c r="BG31" s="243">
        <f t="shared" si="20"/>
        <v>1.02</v>
      </c>
      <c r="BH31" s="133">
        <f>($E31+(Nabídka!$J26*BH$58*$E$49/1000))*BG31</f>
        <v>6.7999931999999999E-3</v>
      </c>
      <c r="BI31" s="588">
        <f>($F31+(Nabídka!$K26*BI$58*($F$51+$F$53)/1000))*BG31</f>
        <v>0.20400000000000001</v>
      </c>
      <c r="BJ31" s="128">
        <f>IF(BJ16="Neaktivní",0,IF(ISBLANK(BK17),0,BH31))</f>
        <v>0</v>
      </c>
      <c r="BK31" s="129">
        <f>IF(BJ16="Neaktivní",0,IF(ISBLANK(BK17),0,BI31))</f>
        <v>0</v>
      </c>
      <c r="BL31" s="745">
        <f>IF(AND(DAY(Postup!$H$25)=31,MONTH(Postup!$H$25)=12),0,INDEX($E31:$BP31,MATCH($BL$57,$E$57:$BP$57,0))*Výpočty!$E$23)</f>
        <v>0</v>
      </c>
      <c r="BM31" s="129">
        <f>IF(AND(DAY(Postup!$H$25)=31,MONTH(Postup!$H$25)=12),0,INDEX($E31:$BP31,MATCH($BM$57,$E$57:$BP$57,0))*Výpočty!$E$23)</f>
        <v>0</v>
      </c>
      <c r="BN31" s="147"/>
      <c r="BO31" s="147"/>
      <c r="BP31" s="147"/>
    </row>
    <row r="32" spans="1:68" x14ac:dyDescent="0.25">
      <c r="A32" s="195"/>
      <c r="B32" s="42" t="s">
        <v>27</v>
      </c>
      <c r="C32" s="45" t="s">
        <v>401</v>
      </c>
      <c r="D32" s="43" t="s">
        <v>109</v>
      </c>
      <c r="E32" s="128">
        <f>Nabídka!F27</f>
        <v>0</v>
      </c>
      <c r="F32" s="129">
        <f>Nabídka!H27</f>
        <v>0.05</v>
      </c>
      <c r="G32" s="128">
        <f>IF(AND(DAY(Postup!$H$24)=1,MONTH(Postup!$H$24)=1),0,E32*Výpočty!$E$17)</f>
        <v>0</v>
      </c>
      <c r="H32" s="129">
        <f>IF(AND(DAY(Postup!$H$24)=1,MONTH(Postup!$H$24)=1),0,F32*Výpočty!$E$17)</f>
        <v>3.7534246575342468E-2</v>
      </c>
      <c r="I32" s="128">
        <f>IF(I$16="Neaktivní",0,IF(ISBLANK($J$17),0,IF(AND(DAY(Postup!$H$24)=1,MONTH(Postup!$H$24)=1),E32,G32)))</f>
        <v>0</v>
      </c>
      <c r="J32" s="129">
        <f>IF(I$16="Neaktivní",0,IF(ISBLANK($J$17),0,IF(AND(DAY(Postup!$H$24)=1,MONTH(Postup!$H$24)=1),F32,H32)))</f>
        <v>0</v>
      </c>
      <c r="K32" s="939" t="s">
        <v>121</v>
      </c>
      <c r="L32" s="939"/>
      <c r="M32" s="940"/>
      <c r="N32" s="153">
        <f t="shared" si="11"/>
        <v>1.04</v>
      </c>
      <c r="O32" s="133">
        <f>($E32+(Nabídka!$J27*O$58*$E$49/1000))*N32</f>
        <v>0</v>
      </c>
      <c r="P32" s="588">
        <f>($F32+(Nabídka!$K27*P$58*($F$51+$F$53)/1000))*N32</f>
        <v>5.2000000000000005E-2</v>
      </c>
      <c r="Q32" s="128">
        <f>IF(Q16="Neaktivní",0,IF(ISBLANK(R17),0,O32))</f>
        <v>0</v>
      </c>
      <c r="R32" s="129">
        <f>IF(Q16="Neaktivní",0,IF(ISBLANK(R$17),0,P32))</f>
        <v>0</v>
      </c>
      <c r="S32" s="243">
        <f t="shared" si="12"/>
        <v>1.02</v>
      </c>
      <c r="T32" s="133">
        <f>($E32+(Nabídka!$J27*T$58*$E$49/1000))*S32</f>
        <v>0</v>
      </c>
      <c r="U32" s="588">
        <f>($F32+(Nabídka!$K27*U$58*($F$51+$F$53)/1000))*S32</f>
        <v>5.1000000000000004E-2</v>
      </c>
      <c r="V32" s="128">
        <f>IF(V16="Neaktivní",0,IF(ISBLANK(W17),0,T32))</f>
        <v>0</v>
      </c>
      <c r="W32" s="129">
        <f>IF(V16="Neaktivní",0,IF(ISBLANK(W$17),0,U32))</f>
        <v>0</v>
      </c>
      <c r="X32" s="153">
        <f t="shared" si="13"/>
        <v>1.02</v>
      </c>
      <c r="Y32" s="133">
        <f>($E32+(Nabídka!$J27*Y$58*$E$49/1000))*X32</f>
        <v>0</v>
      </c>
      <c r="Z32" s="588">
        <f>($F32+(Nabídka!$K27*Z$58*($F$51+$F$53)/1000))*X32</f>
        <v>5.1000000000000004E-2</v>
      </c>
      <c r="AA32" s="128">
        <f>IF(AA16="Neaktivní",0,IF(ISBLANK(AB17),0,Y32))</f>
        <v>0</v>
      </c>
      <c r="AB32" s="129">
        <f>IF(AA16="Neaktivní",0,IF(ISBLANK(AB$17),0,Z32))</f>
        <v>0</v>
      </c>
      <c r="AC32" s="153">
        <f t="shared" si="14"/>
        <v>1.02</v>
      </c>
      <c r="AD32" s="133">
        <f>($E32+(Nabídka!$J27*AD$58*$E$49/1000))*AC32</f>
        <v>0</v>
      </c>
      <c r="AE32" s="588">
        <f>($F32+(Nabídka!$K27*AE$58*($F$51+$F$53)/1000))*AC32</f>
        <v>5.1000000000000004E-2</v>
      </c>
      <c r="AF32" s="128">
        <f>IF(AF16="Neaktivní",0,IF(ISBLANK(AG17),0,AD32))</f>
        <v>0</v>
      </c>
      <c r="AG32" s="129">
        <f>IF(AF16="Neaktivní",0,IF(ISBLANK(AG$17),0,AE32))</f>
        <v>0</v>
      </c>
      <c r="AH32" s="153">
        <f t="shared" si="15"/>
        <v>1.02</v>
      </c>
      <c r="AI32" s="133">
        <f>($E32+(Nabídka!$J27*AI$58*$E$49/1000))*AH32</f>
        <v>0</v>
      </c>
      <c r="AJ32" s="588">
        <f>($F32+(Nabídka!$K27*AJ$58*($F$51+$F$53)/1000))*AH32</f>
        <v>5.1000000000000004E-2</v>
      </c>
      <c r="AK32" s="128">
        <f>IF(AK16="Neaktivní",0,IF(ISBLANK(AL17),0,AI32))</f>
        <v>0</v>
      </c>
      <c r="AL32" s="129">
        <f>IF(AK16="Neaktivní",0,IF(ISBLANK(AL$17),0,AJ32))</f>
        <v>0</v>
      </c>
      <c r="AM32" s="153">
        <f t="shared" si="16"/>
        <v>1.02</v>
      </c>
      <c r="AN32" s="133">
        <f>($E32+(Nabídka!$J27*AN$58*$E$49/1000))*AM32</f>
        <v>0</v>
      </c>
      <c r="AO32" s="588">
        <f>($F32+(Nabídka!$K27*AO$58*($F$51+$F$53)/1000))*AM32</f>
        <v>5.1000000000000004E-2</v>
      </c>
      <c r="AP32" s="128">
        <f>IF(AP16="Neaktivní",0,IF(ISBLANK(AQ17),0,AN32))</f>
        <v>0</v>
      </c>
      <c r="AQ32" s="129">
        <f>IF(AP16="Neaktivní",0,IF(ISBLANK(AQ$17),0,AO32))</f>
        <v>0</v>
      </c>
      <c r="AR32" s="153">
        <f t="shared" si="17"/>
        <v>1.02</v>
      </c>
      <c r="AS32" s="133">
        <f>($E32+(Nabídka!$J27*AS$58*$E$49/1000))*AR32</f>
        <v>0</v>
      </c>
      <c r="AT32" s="586">
        <f>($F32+(Nabídka!$K27*AT$58*($F$51+$F$53)/1000))*AR32</f>
        <v>5.1000000000000004E-2</v>
      </c>
      <c r="AU32" s="128">
        <f>IF(AU16="Neaktivní",0,IF(ISBLANK(AV17),0,AS32))</f>
        <v>0</v>
      </c>
      <c r="AV32" s="129">
        <f>IF(AU16="Neaktivní",0,IF(ISBLANK(AV$17),0,AT32))</f>
        <v>0</v>
      </c>
      <c r="AW32" s="153">
        <f t="shared" si="18"/>
        <v>1.02</v>
      </c>
      <c r="AX32" s="133">
        <f>($E32+(Nabídka!$J27*AX$58*$E$49/1000))*AW32</f>
        <v>0</v>
      </c>
      <c r="AY32" s="588">
        <f>($F32+(Nabídka!$K27*AY$58*($F$51+$F$53)/1000))*AW32</f>
        <v>5.1000000000000004E-2</v>
      </c>
      <c r="AZ32" s="128">
        <f>IF(AZ16="Neaktivní",0,IF(ISBLANK(BA17),0,AX32))</f>
        <v>0</v>
      </c>
      <c r="BA32" s="129">
        <f>IF(AZ16="Neaktivní",0,IF(ISBLANK(BA$17),0,AY32))</f>
        <v>0</v>
      </c>
      <c r="BB32" s="243">
        <f t="shared" si="19"/>
        <v>1.02</v>
      </c>
      <c r="BC32" s="133">
        <f>($E32+(Nabídka!$J27*BC$58*$E$49/1000))*BB32</f>
        <v>0</v>
      </c>
      <c r="BD32" s="588">
        <f>($F32+(Nabídka!$K27*BD$58*($F$51+$F$53)/1000))*BB32</f>
        <v>5.1000000000000004E-2</v>
      </c>
      <c r="BE32" s="128">
        <f>IF(BE16="Neaktivní",0,IF(ISBLANK(BF17),0,BC32))</f>
        <v>0</v>
      </c>
      <c r="BF32" s="129">
        <f>IF(BE16="Neaktivní",0,IF(ISBLANK(BF$17),0,BD32))</f>
        <v>0</v>
      </c>
      <c r="BG32" s="243">
        <f t="shared" si="20"/>
        <v>1.02</v>
      </c>
      <c r="BH32" s="133">
        <f>($E32+(Nabídka!$J27*BH$58*$E$49/1000))*BG32</f>
        <v>0</v>
      </c>
      <c r="BI32" s="588">
        <f>($F32+(Nabídka!$K27*BI$58*($F$51+$F$53)/1000))*BG32</f>
        <v>5.1000000000000004E-2</v>
      </c>
      <c r="BJ32" s="128">
        <f>IF(BJ16="Neaktivní",0,IF(ISBLANK(BK17),0,BH32))</f>
        <v>0</v>
      </c>
      <c r="BK32" s="129">
        <f>IF(BJ16="Neaktivní",0,IF(ISBLANK(BK$17),0,BI32))</f>
        <v>0</v>
      </c>
      <c r="BL32" s="745">
        <f>IF(AND(DAY(Postup!$H$25)=31,MONTH(Postup!$H$25)=12),0,INDEX($E32:$BP32,MATCH($BL$57,$E$57:$BP$57,0))*Výpočty!$E$23)</f>
        <v>0</v>
      </c>
      <c r="BM32" s="129">
        <f>IF(AND(DAY(Postup!$H$25)=31,MONTH(Postup!$H$25)=12),0,INDEX($E32:$BP32,MATCH($BM$57,$E$57:$BP$57,0))*Výpočty!$E$23)</f>
        <v>0</v>
      </c>
      <c r="BN32" s="147"/>
      <c r="BO32" s="147"/>
      <c r="BP32" s="147"/>
    </row>
    <row r="33" spans="1:68" x14ac:dyDescent="0.25">
      <c r="A33" s="195"/>
      <c r="B33" s="39" t="s">
        <v>28</v>
      </c>
      <c r="C33" s="40" t="s">
        <v>29</v>
      </c>
      <c r="D33" s="154" t="s">
        <v>109</v>
      </c>
      <c r="E33" s="126">
        <f t="shared" ref="E33:J33" si="26">SUM(E34:E37)</f>
        <v>0.33400000000000002</v>
      </c>
      <c r="F33" s="127">
        <f t="shared" si="26"/>
        <v>0.90900000000000003</v>
      </c>
      <c r="G33" s="126">
        <f t="shared" si="26"/>
        <v>0.25072876712328768</v>
      </c>
      <c r="H33" s="127">
        <f t="shared" si="26"/>
        <v>0.68237260273972611</v>
      </c>
      <c r="I33" s="126">
        <f t="shared" si="26"/>
        <v>0</v>
      </c>
      <c r="J33" s="127">
        <f t="shared" si="26"/>
        <v>0</v>
      </c>
      <c r="K33" s="933"/>
      <c r="L33" s="933"/>
      <c r="M33" s="934"/>
      <c r="N33" s="153" t="str">
        <f t="shared" si="11"/>
        <v xml:space="preserve">-  </v>
      </c>
      <c r="O33" s="590">
        <f>SUM(O34:O37)</f>
        <v>0.34736</v>
      </c>
      <c r="P33" s="594">
        <f>SUM(P34:P37)</f>
        <v>0.94536000000000009</v>
      </c>
      <c r="Q33" s="126">
        <f>SUM(Q34:Q37)</f>
        <v>0</v>
      </c>
      <c r="R33" s="127">
        <f>SUM(R34:R37)</f>
        <v>0</v>
      </c>
      <c r="S33" s="243" t="str">
        <f t="shared" si="12"/>
        <v xml:space="preserve">-  </v>
      </c>
      <c r="T33" s="590">
        <f>SUM(T34:T37)</f>
        <v>2.0400000000000001E-2</v>
      </c>
      <c r="U33" s="594">
        <f>SUM(U34:U37)</f>
        <v>2.5500000000000002E-2</v>
      </c>
      <c r="V33" s="126">
        <f>SUM(V34:V37)</f>
        <v>0</v>
      </c>
      <c r="W33" s="127">
        <f>SUM(W34:W37)</f>
        <v>0</v>
      </c>
      <c r="X33" s="153" t="str">
        <f t="shared" si="13"/>
        <v xml:space="preserve">-  </v>
      </c>
      <c r="Y33" s="590">
        <f>SUM(Y34:Y37)</f>
        <v>2.0400000000000001E-2</v>
      </c>
      <c r="Z33" s="594">
        <f>SUM(Z34:Z37)</f>
        <v>2.5500000000000002E-2</v>
      </c>
      <c r="AA33" s="126">
        <f>SUM(AA34:AA37)</f>
        <v>0</v>
      </c>
      <c r="AB33" s="127">
        <f>SUM(AB34:AB37)</f>
        <v>0</v>
      </c>
      <c r="AC33" s="153" t="str">
        <f t="shared" si="14"/>
        <v xml:space="preserve">-  </v>
      </c>
      <c r="AD33" s="590">
        <f>SUM(AD34:AD37)</f>
        <v>2.0400000000000001E-2</v>
      </c>
      <c r="AE33" s="594">
        <f>SUM(AE34:AE37)</f>
        <v>2.5500000000000002E-2</v>
      </c>
      <c r="AF33" s="126">
        <f>SUM(AF34:AF37)</f>
        <v>0</v>
      </c>
      <c r="AG33" s="127">
        <f>SUM(AG34:AG37)</f>
        <v>0</v>
      </c>
      <c r="AH33" s="153" t="str">
        <f t="shared" si="15"/>
        <v xml:space="preserve">-  </v>
      </c>
      <c r="AI33" s="590">
        <f>SUM(AI34:AI37)</f>
        <v>2.0400000000000001E-2</v>
      </c>
      <c r="AJ33" s="594">
        <f>SUM(AJ34:AJ37)</f>
        <v>2.5500000000000002E-2</v>
      </c>
      <c r="AK33" s="126">
        <f>SUM(AK34:AK37)</f>
        <v>0</v>
      </c>
      <c r="AL33" s="127">
        <f>SUM(AL34:AL37)</f>
        <v>0</v>
      </c>
      <c r="AM33" s="153" t="str">
        <f t="shared" si="16"/>
        <v xml:space="preserve">-  </v>
      </c>
      <c r="AN33" s="590">
        <f>SUM(AN34:AN37)</f>
        <v>2.0400000000000001E-2</v>
      </c>
      <c r="AO33" s="594">
        <f>SUM(AO34:AO37)</f>
        <v>2.5500000000000002E-2</v>
      </c>
      <c r="AP33" s="126">
        <f>SUM(AP34:AP37)</f>
        <v>0</v>
      </c>
      <c r="AQ33" s="127">
        <f>SUM(AQ34:AQ37)</f>
        <v>0</v>
      </c>
      <c r="AR33" s="153" t="str">
        <f t="shared" si="17"/>
        <v xml:space="preserve">-  </v>
      </c>
      <c r="AS33" s="590">
        <f>SUM(AS34:AS37)</f>
        <v>2.0400000000000001E-2</v>
      </c>
      <c r="AT33" s="585">
        <f>SUM(AT34:AT37)</f>
        <v>2.5500000000000002E-2</v>
      </c>
      <c r="AU33" s="126">
        <f>SUM(AU34:AU37)</f>
        <v>0</v>
      </c>
      <c r="AV33" s="127">
        <f>SUM(AV34:AV37)</f>
        <v>0</v>
      </c>
      <c r="AW33" s="153" t="str">
        <f t="shared" si="18"/>
        <v xml:space="preserve">-  </v>
      </c>
      <c r="AX33" s="590">
        <f>SUM(AX34:AX37)</f>
        <v>2.0400000000000001E-2</v>
      </c>
      <c r="AY33" s="594">
        <f>SUM(AY34:AY37)</f>
        <v>2.5500000000000002E-2</v>
      </c>
      <c r="AZ33" s="126">
        <f>SUM(AZ34:AZ37)</f>
        <v>0</v>
      </c>
      <c r="BA33" s="127">
        <f>SUM(BA34:BA37)</f>
        <v>0</v>
      </c>
      <c r="BB33" s="243" t="str">
        <f t="shared" si="19"/>
        <v xml:space="preserve">-  </v>
      </c>
      <c r="BC33" s="590">
        <f>SUM(BC34:BC37)</f>
        <v>2.0400000000000001E-2</v>
      </c>
      <c r="BD33" s="594">
        <f>SUM(BD34:BD37)</f>
        <v>2.5500000000000002E-2</v>
      </c>
      <c r="BE33" s="126">
        <f>SUM(BE34:BE37)</f>
        <v>0</v>
      </c>
      <c r="BF33" s="127">
        <f>SUM(BF34:BF37)</f>
        <v>0</v>
      </c>
      <c r="BG33" s="243" t="str">
        <f t="shared" si="20"/>
        <v xml:space="preserve">-  </v>
      </c>
      <c r="BH33" s="590">
        <f t="shared" ref="BH33:BM33" si="27">SUM(BH34:BH37)</f>
        <v>2.0400000000000001E-2</v>
      </c>
      <c r="BI33" s="594">
        <f t="shared" si="27"/>
        <v>2.5500000000000002E-2</v>
      </c>
      <c r="BJ33" s="590">
        <f>SUM(BJ34:BJ37)</f>
        <v>0</v>
      </c>
      <c r="BK33" s="594">
        <f>SUM(BK34:BK37)</f>
        <v>0</v>
      </c>
      <c r="BL33" s="590">
        <f t="shared" si="27"/>
        <v>0</v>
      </c>
      <c r="BM33" s="594">
        <f t="shared" si="27"/>
        <v>0</v>
      </c>
      <c r="BN33" s="314"/>
      <c r="BO33" s="314"/>
      <c r="BP33" s="314"/>
    </row>
    <row r="34" spans="1:68" x14ac:dyDescent="0.25">
      <c r="A34" s="195"/>
      <c r="B34" s="42" t="s">
        <v>30</v>
      </c>
      <c r="C34" s="12" t="s">
        <v>381</v>
      </c>
      <c r="D34" s="43" t="s">
        <v>109</v>
      </c>
      <c r="E34" s="491">
        <f>Nabídka!F29</f>
        <v>0</v>
      </c>
      <c r="F34" s="492">
        <f>Nabídka!H29</f>
        <v>0</v>
      </c>
      <c r="G34" s="128">
        <f>IF(AND(DAY(Postup!$H$24)=1,MONTH(Postup!$H$24)=1),0,E34*Výpočty!$E$17)</f>
        <v>0</v>
      </c>
      <c r="H34" s="129">
        <f>IF(AND(DAY(Postup!$H$24)=1,MONTH(Postup!$H$24)=1),0,F34*Výpočty!$E$17)</f>
        <v>0</v>
      </c>
      <c r="I34" s="491">
        <f>IF(I$16="Neaktivní",0,IF(ISBLANK($J$17),0,IF(AND(DAY(Postup!$H$24)=1,MONTH(Postup!$H$24)=1),E34,G34)))</f>
        <v>0</v>
      </c>
      <c r="J34" s="492">
        <f>IF(I$16="Neaktivní",0,IF(ISBLANK($J$17),0,IF(AND(DAY(Postup!$H$24)=1,MONTH(Postup!$H$24)=1),F34,H34)))</f>
        <v>0</v>
      </c>
      <c r="K34" s="933"/>
      <c r="L34" s="933"/>
      <c r="M34" s="934"/>
      <c r="N34" s="153" t="str">
        <f t="shared" si="11"/>
        <v xml:space="preserve">-  </v>
      </c>
      <c r="O34" s="591">
        <f>Nabídka!F29</f>
        <v>0</v>
      </c>
      <c r="P34" s="587">
        <f>Nabídka!H29</f>
        <v>0</v>
      </c>
      <c r="Q34" s="706">
        <f>IF(Q16="Neaktivní",0,IF(ISBLANK(R17),0,O34))</f>
        <v>0</v>
      </c>
      <c r="R34" s="707">
        <f>IF(Q16="Neaktivní",0,IF(ISBLANK(R17),0,P34))</f>
        <v>0</v>
      </c>
      <c r="S34" s="243" t="str">
        <f t="shared" si="12"/>
        <v xml:space="preserve">-  </v>
      </c>
      <c r="T34" s="591">
        <f>Nabídka!F29</f>
        <v>0</v>
      </c>
      <c r="U34" s="587">
        <f>Nabídka!H29</f>
        <v>0</v>
      </c>
      <c r="V34" s="706">
        <f>IF(V16="Neaktivní",0,IF(ISBLANK(W17),0,T34))</f>
        <v>0</v>
      </c>
      <c r="W34" s="707">
        <f>IF(V16="Neaktivní",0,IF(ISBLANK(W17),0,U34))</f>
        <v>0</v>
      </c>
      <c r="X34" s="153" t="str">
        <f t="shared" si="13"/>
        <v xml:space="preserve">-  </v>
      </c>
      <c r="Y34" s="591">
        <f>Nabídka!F29</f>
        <v>0</v>
      </c>
      <c r="Z34" s="587">
        <f>Nabídka!H29</f>
        <v>0</v>
      </c>
      <c r="AA34" s="706">
        <f>IF(AA16="Neaktivní",0,IF(ISBLANK(AB17),0,Y34))</f>
        <v>0</v>
      </c>
      <c r="AB34" s="707">
        <f>IF(AA16="Neaktivní",0,IF(ISBLANK(AB17),0,Z34))</f>
        <v>0</v>
      </c>
      <c r="AC34" s="153" t="str">
        <f t="shared" si="14"/>
        <v xml:space="preserve">-  </v>
      </c>
      <c r="AD34" s="591">
        <f>Nabídka!F29</f>
        <v>0</v>
      </c>
      <c r="AE34" s="587">
        <f>Nabídka!H29</f>
        <v>0</v>
      </c>
      <c r="AF34" s="706">
        <f>IF(AF16="Neaktivní",0,IF(ISBLANK(AG17),0,AD34))</f>
        <v>0</v>
      </c>
      <c r="AG34" s="707">
        <f>IF(AF16="Neaktivní",0,IF(ISBLANK(AG17),0,AE34))</f>
        <v>0</v>
      </c>
      <c r="AH34" s="153" t="str">
        <f t="shared" si="15"/>
        <v xml:space="preserve">-  </v>
      </c>
      <c r="AI34" s="591">
        <f>Nabídka!F29</f>
        <v>0</v>
      </c>
      <c r="AJ34" s="587">
        <f>Nabídka!H29</f>
        <v>0</v>
      </c>
      <c r="AK34" s="706">
        <f>IF(AK16="Neaktivní",0,IF(ISBLANK(AL17),0,AI34))</f>
        <v>0</v>
      </c>
      <c r="AL34" s="707">
        <f>IF(AK16="Neaktivní",0,IF(ISBLANK(AL17),0,AJ34))</f>
        <v>0</v>
      </c>
      <c r="AM34" s="153" t="str">
        <f t="shared" si="16"/>
        <v xml:space="preserve">-  </v>
      </c>
      <c r="AN34" s="591">
        <f>Nabídka!F29</f>
        <v>0</v>
      </c>
      <c r="AO34" s="587">
        <f>Nabídka!H29</f>
        <v>0</v>
      </c>
      <c r="AP34" s="706">
        <f>IF(AP16="Neaktivní",0,IF(ISBLANK(AQ17),0,AN34))</f>
        <v>0</v>
      </c>
      <c r="AQ34" s="707">
        <f>IF(AP16="Neaktivní",0,IF(ISBLANK(AQ17),0,AO34))</f>
        <v>0</v>
      </c>
      <c r="AR34" s="153" t="str">
        <f t="shared" si="17"/>
        <v xml:space="preserve">-  </v>
      </c>
      <c r="AS34" s="591">
        <f>Nabídka!F29</f>
        <v>0</v>
      </c>
      <c r="AT34" s="587">
        <f>Nabídka!H29</f>
        <v>0</v>
      </c>
      <c r="AU34" s="706">
        <f>IF(AU16="Neaktivní",0,IF(ISBLANK(AV17),0,AS34))</f>
        <v>0</v>
      </c>
      <c r="AV34" s="707">
        <f>IF(AU16="Neaktivní",0,IF(ISBLANK(AV17),0,AT34))</f>
        <v>0</v>
      </c>
      <c r="AW34" s="153" t="str">
        <f t="shared" si="18"/>
        <v xml:space="preserve">-  </v>
      </c>
      <c r="AX34" s="591">
        <f>Nabídka!F29</f>
        <v>0</v>
      </c>
      <c r="AY34" s="599">
        <f>Nabídka!H29</f>
        <v>0</v>
      </c>
      <c r="AZ34" s="706">
        <f>IF(AZ16="Neaktivní",0,IF(ISBLANK(BA17),0,AX34))</f>
        <v>0</v>
      </c>
      <c r="BA34" s="707">
        <f>IF(AZ16="Neaktivní",0,IF(ISBLANK(BA17),0,AY34))</f>
        <v>0</v>
      </c>
      <c r="BB34" s="243" t="str">
        <f t="shared" si="19"/>
        <v xml:space="preserve">-  </v>
      </c>
      <c r="BC34" s="591">
        <f>Nabídka!F29</f>
        <v>0</v>
      </c>
      <c r="BD34" s="599">
        <f>Nabídka!H29</f>
        <v>0</v>
      </c>
      <c r="BE34" s="706">
        <f>IF(BE16="Neaktivní",0,IF(ISBLANK(BF17),0,BC34))</f>
        <v>0</v>
      </c>
      <c r="BF34" s="707">
        <f>IF(BE16="Neaktivní",0,IF(ISBLANK(BF17),0,BD34))</f>
        <v>0</v>
      </c>
      <c r="BG34" s="243" t="str">
        <f t="shared" si="20"/>
        <v xml:space="preserve">-  </v>
      </c>
      <c r="BH34" s="591">
        <f>Nabídka!F29</f>
        <v>0</v>
      </c>
      <c r="BI34" s="599">
        <f>Nabídka!H29</f>
        <v>0</v>
      </c>
      <c r="BJ34" s="742">
        <f>IF(BJ16="Neaktivní",0,IF(ISBLANK(BK17),0,BH34))</f>
        <v>0</v>
      </c>
      <c r="BK34" s="743">
        <f>IF(BJ16="Neaktivní",0,IF(ISBLANK(BK17),0,BI34))</f>
        <v>0</v>
      </c>
      <c r="BL34" s="133">
        <f>IF(AND(DAY(Postup!$H$25)=31,MONTH(Postup!$H$25)=12),0,INDEX($E34:$BP34,MATCH($BL$57,$E$57:$BP$57,0))*Výpočty!$E$23)</f>
        <v>0</v>
      </c>
      <c r="BM34" s="588">
        <f>IF(AND(DAY(Postup!$H$25)=31,MONTH(Postup!$H$25)=12),0,INDEX($E34:$BP34,MATCH($BM$57,$E$57:$BP$57,0))*Výpočty!$E$23)</f>
        <v>0</v>
      </c>
      <c r="BN34" s="147"/>
      <c r="BO34" s="147"/>
      <c r="BP34" s="147"/>
    </row>
    <row r="35" spans="1:68" x14ac:dyDescent="0.25">
      <c r="A35" s="195"/>
      <c r="B35" s="42" t="s">
        <v>32</v>
      </c>
      <c r="C35" s="12" t="s">
        <v>383</v>
      </c>
      <c r="D35" s="43" t="s">
        <v>109</v>
      </c>
      <c r="E35" s="698">
        <f>Postup!E40</f>
        <v>0</v>
      </c>
      <c r="F35" s="699">
        <f>Postup!E41</f>
        <v>0</v>
      </c>
      <c r="G35" s="128">
        <f>IF(AND(DAY(Postup!$H$24)=1,MONTH(Postup!$H$24)=1),0,E35*Výpočty!$E$17)</f>
        <v>0</v>
      </c>
      <c r="H35" s="129">
        <f>IF(AND(DAY(Postup!$H$24)=1,MONTH(Postup!$H$24)=1),0,F35*Výpočty!$E$17)</f>
        <v>0</v>
      </c>
      <c r="I35" s="698">
        <f>IF(I$16="Neaktivní",0,IF(ISBLANK($J$17),0,IF(AND(DAY(Postup!$H$24)=1,MONTH(Postup!$H$24)=1),E35,G35)))</f>
        <v>0</v>
      </c>
      <c r="J35" s="699">
        <f>IF(I$16="Neaktivní",0,IF(ISBLANK($J$17),0,IF(AND(DAY(Postup!$H$24)=1,MONTH(Postup!$H$24)=1),F35,H35)))</f>
        <v>0</v>
      </c>
      <c r="K35" s="939" t="s">
        <v>132</v>
      </c>
      <c r="L35" s="939"/>
      <c r="M35" s="940"/>
      <c r="N35" s="153">
        <f t="shared" si="11"/>
        <v>1.04</v>
      </c>
      <c r="O35" s="700">
        <f>Postup!F40*N35</f>
        <v>0</v>
      </c>
      <c r="P35" s="701">
        <f>Postup!F41*N35</f>
        <v>0</v>
      </c>
      <c r="Q35" s="708">
        <f>IF(Q16="Neaktivní",0,IF(ISBLANK(R17),0,O35))</f>
        <v>0</v>
      </c>
      <c r="R35" s="709">
        <f>IF(Q16="Neaktivní",0,IF(ISBLANK(R17),0,P35))</f>
        <v>0</v>
      </c>
      <c r="S35" s="243">
        <f t="shared" si="12"/>
        <v>1.02</v>
      </c>
      <c r="T35" s="700">
        <f>Postup!G40*S35</f>
        <v>0</v>
      </c>
      <c r="U35" s="701">
        <f>Postup!G41*S35</f>
        <v>0</v>
      </c>
      <c r="V35" s="708">
        <f>IF(V16="Neaktivní",0,IF(ISBLANK(W17),0,T35))</f>
        <v>0</v>
      </c>
      <c r="W35" s="709">
        <f>IF(V16="Neaktivní",0,IF(ISBLANK(W17),0,U35))</f>
        <v>0</v>
      </c>
      <c r="X35" s="153">
        <f t="shared" si="13"/>
        <v>1.02</v>
      </c>
      <c r="Y35" s="700">
        <f>Postup!H40*X35</f>
        <v>0</v>
      </c>
      <c r="Z35" s="701">
        <f>Postup!H41*X35</f>
        <v>0</v>
      </c>
      <c r="AA35" s="708">
        <f>IF(AA16="Neaktivní",0,IF(ISBLANK(AB17),0,Y35))</f>
        <v>0</v>
      </c>
      <c r="AB35" s="709">
        <f>IF(AA16="Neaktivní",0,IF(ISBLANK(AB17),0,Z35))</f>
        <v>0</v>
      </c>
      <c r="AC35" s="153">
        <f t="shared" si="14"/>
        <v>1.02</v>
      </c>
      <c r="AD35" s="700">
        <f>Postup!I40*AC35</f>
        <v>0</v>
      </c>
      <c r="AE35" s="701">
        <f>Postup!I41*AC35</f>
        <v>0</v>
      </c>
      <c r="AF35" s="708">
        <f>IF(AF16="Neaktivní",0,IF(ISBLANK(AG17),0,AD35))</f>
        <v>0</v>
      </c>
      <c r="AG35" s="709">
        <f>IF(AF16="Neaktivní",0,IF(ISBLANK(AG17),0,AE35))</f>
        <v>0</v>
      </c>
      <c r="AH35" s="153">
        <f t="shared" si="15"/>
        <v>1.02</v>
      </c>
      <c r="AI35" s="700">
        <f>Postup!J40*AH35</f>
        <v>0</v>
      </c>
      <c r="AJ35" s="701">
        <f>Postup!J41*AH35</f>
        <v>0</v>
      </c>
      <c r="AK35" s="708">
        <f>IF(AK16="Neaktivní",0,IF(ISBLANK(AL17),0,AI35))</f>
        <v>0</v>
      </c>
      <c r="AL35" s="709">
        <f>IF(AK16="Neaktivní",0,IF(ISBLANK(AL17),0,AJ35))</f>
        <v>0</v>
      </c>
      <c r="AM35" s="153">
        <f t="shared" si="16"/>
        <v>1.02</v>
      </c>
      <c r="AN35" s="700">
        <f>Postup!K40*AM35</f>
        <v>0</v>
      </c>
      <c r="AO35" s="701">
        <f>Postup!K41*AM35</f>
        <v>0</v>
      </c>
      <c r="AP35" s="708">
        <f>IF(AP16="Neaktivní",0,IF(ISBLANK(AQ17),0,AN35))</f>
        <v>0</v>
      </c>
      <c r="AQ35" s="709">
        <f>IF(AP16="Neaktivní",0,IF(ISBLANK(AQ17),0,AO35))</f>
        <v>0</v>
      </c>
      <c r="AR35" s="153">
        <f t="shared" si="17"/>
        <v>1.02</v>
      </c>
      <c r="AS35" s="700">
        <f>Postup!L40*AR35</f>
        <v>0</v>
      </c>
      <c r="AT35" s="701">
        <f>Postup!L41*AR35</f>
        <v>0</v>
      </c>
      <c r="AU35" s="708">
        <f>IF(AU16="Neaktivní",0,IF(ISBLANK(AV17),0,AS35))</f>
        <v>0</v>
      </c>
      <c r="AV35" s="709">
        <f>IF(AU16="Neaktivní",0,IF(ISBLANK(AV17),0,AT35))</f>
        <v>0</v>
      </c>
      <c r="AW35" s="153">
        <f t="shared" si="18"/>
        <v>1.02</v>
      </c>
      <c r="AX35" s="700">
        <f>Postup!M40*AW35</f>
        <v>0</v>
      </c>
      <c r="AY35" s="701">
        <f>Postup!M41*AW35</f>
        <v>0</v>
      </c>
      <c r="AZ35" s="708">
        <f>IF(AZ16="Neaktivní",0,IF(ISBLANK(BA17),0,AX35))</f>
        <v>0</v>
      </c>
      <c r="BA35" s="709">
        <f>IF(AZ16="Neaktivní",0,IF(ISBLANK(BA17),0,AY35))</f>
        <v>0</v>
      </c>
      <c r="BB35" s="243">
        <f t="shared" si="19"/>
        <v>1.02</v>
      </c>
      <c r="BC35" s="700">
        <f>Postup!N40*BB35</f>
        <v>0</v>
      </c>
      <c r="BD35" s="701">
        <f>Postup!N41*BB35</f>
        <v>0</v>
      </c>
      <c r="BE35" s="708">
        <f>IF(BE16="Neaktivní",0,IF(ISBLANK(BF17),0,BC35))</f>
        <v>0</v>
      </c>
      <c r="BF35" s="709">
        <f>IF(BE16="Neaktivní",0,IF(ISBLANK(BF17),0,BD35))</f>
        <v>0</v>
      </c>
      <c r="BG35" s="243">
        <f t="shared" si="20"/>
        <v>1.02</v>
      </c>
      <c r="BH35" s="700">
        <f>Postup!O40*BG35</f>
        <v>0</v>
      </c>
      <c r="BI35" s="701">
        <f>Postup!O41*BG35</f>
        <v>0</v>
      </c>
      <c r="BJ35" s="728">
        <f>IF(BJ16="Neaktivní",0,IF(ISBLANK(BK17),0,BH35))</f>
        <v>0</v>
      </c>
      <c r="BK35" s="729">
        <f>IF(BJ16="Neaktivní",0,IF(ISBLANK(BK17),0,BI35))</f>
        <v>0</v>
      </c>
      <c r="BL35" s="133">
        <f>IF(AND(DAY(Postup!$H$25)=31,MONTH(Postup!$H$25)=12),0,INDEX($E35:$BP35,MATCH($BL$57,$E$57:$BP$57,0))*Výpočty!$E$23)</f>
        <v>0</v>
      </c>
      <c r="BM35" s="588">
        <f>IF(AND(DAY(Postup!$H$25)=31,MONTH(Postup!$H$25)=12),0,INDEX($E35:$BP35,MATCH($BM$57,$E$57:$BP$57,0))*Výpočty!$E$23)</f>
        <v>0</v>
      </c>
      <c r="BN35" s="147"/>
      <c r="BO35" s="147"/>
      <c r="BP35" s="147"/>
    </row>
    <row r="36" spans="1:68" s="146" customFormat="1" ht="15" customHeight="1" x14ac:dyDescent="0.2">
      <c r="A36" s="428"/>
      <c r="B36" s="42" t="s">
        <v>33</v>
      </c>
      <c r="C36" s="42" t="s">
        <v>382</v>
      </c>
      <c r="D36" s="43" t="s">
        <v>109</v>
      </c>
      <c r="E36" s="704">
        <f>Nabídka!F31</f>
        <v>0.02</v>
      </c>
      <c r="F36" s="705">
        <f>Nabídka!H31</f>
        <v>2.5000000000000001E-2</v>
      </c>
      <c r="G36" s="128">
        <f>IF(AND(DAY(Postup!$H$24)=1,MONTH(Postup!$H$24)=1),0,E36*Výpočty!$E$17)</f>
        <v>1.5013698630136987E-2</v>
      </c>
      <c r="H36" s="129">
        <f>IF(AND(DAY(Postup!$H$24)=1,MONTH(Postup!$H$24)=1),0,F36*Výpočty!$E$17)</f>
        <v>1.8767123287671234E-2</v>
      </c>
      <c r="I36" s="128">
        <f>IF(I$16="Neaktivní",0,IF(ISBLANK($J$17),0,IF(AND(DAY(Postup!$H$24)=1,MONTH(Postup!$H$24)=1),E36,G36)))</f>
        <v>0</v>
      </c>
      <c r="J36" s="129">
        <f>IF(I$16="Neaktivní",0,IF(ISBLANK($J$17),0,IF(AND(DAY(Postup!$H$24)=1,MONTH(Postup!$H$24)=1),F36,H36)))</f>
        <v>0</v>
      </c>
      <c r="K36" s="1028" t="s">
        <v>132</v>
      </c>
      <c r="L36" s="1028"/>
      <c r="M36" s="1029"/>
      <c r="N36" s="153">
        <f t="shared" si="11"/>
        <v>1.04</v>
      </c>
      <c r="O36" s="133">
        <f>$E$36*N36</f>
        <v>2.0800000000000003E-2</v>
      </c>
      <c r="P36" s="588">
        <f>$F$36*N36</f>
        <v>2.6000000000000002E-2</v>
      </c>
      <c r="Q36" s="128">
        <f>IF(Q16="Neaktivní",0,IF(ISBLANK(R17),0,O36))</f>
        <v>0</v>
      </c>
      <c r="R36" s="129">
        <f>IF(Q16="Neaktivní",0,IF(ISBLANK(R17),0,P36))</f>
        <v>0</v>
      </c>
      <c r="S36" s="243">
        <f t="shared" si="12"/>
        <v>1.02</v>
      </c>
      <c r="T36" s="133">
        <f>$E$36*S36</f>
        <v>2.0400000000000001E-2</v>
      </c>
      <c r="U36" s="588">
        <f>$F$36*S36</f>
        <v>2.5500000000000002E-2</v>
      </c>
      <c r="V36" s="128">
        <f>IF(V16="Neaktivní",0,IF(ISBLANK(W17),0,T36))</f>
        <v>0</v>
      </c>
      <c r="W36" s="129">
        <f>IF(V16="Neaktivní",0,IF(ISBLANK(W17),0,U36))</f>
        <v>0</v>
      </c>
      <c r="X36" s="153">
        <f t="shared" si="13"/>
        <v>1.02</v>
      </c>
      <c r="Y36" s="133">
        <f>$E$36*X36</f>
        <v>2.0400000000000001E-2</v>
      </c>
      <c r="Z36" s="588">
        <f>$F$36*X36</f>
        <v>2.5500000000000002E-2</v>
      </c>
      <c r="AA36" s="128">
        <f>IF(AA16="Neaktivní",0,IF(ISBLANK(AB17),0,Y36))</f>
        <v>0</v>
      </c>
      <c r="AB36" s="129">
        <f>IF(AA16="Neaktivní",0,IF(ISBLANK(AB17),0,Z36))</f>
        <v>0</v>
      </c>
      <c r="AC36" s="153">
        <f t="shared" si="14"/>
        <v>1.02</v>
      </c>
      <c r="AD36" s="133">
        <f>$E$36*AC36</f>
        <v>2.0400000000000001E-2</v>
      </c>
      <c r="AE36" s="588">
        <f>$F$36*AC36</f>
        <v>2.5500000000000002E-2</v>
      </c>
      <c r="AF36" s="128">
        <f>IF(AF16="Neaktivní",0,IF(ISBLANK(AG17),0,AD36))</f>
        <v>0</v>
      </c>
      <c r="AG36" s="129">
        <f>IF(AF16="Neaktivní",0,IF(ISBLANK(AG17),0,AE36))</f>
        <v>0</v>
      </c>
      <c r="AH36" s="153">
        <f t="shared" si="15"/>
        <v>1.02</v>
      </c>
      <c r="AI36" s="133">
        <f>$E$36*AH36</f>
        <v>2.0400000000000001E-2</v>
      </c>
      <c r="AJ36" s="588">
        <f>$F$36*AH36</f>
        <v>2.5500000000000002E-2</v>
      </c>
      <c r="AK36" s="128">
        <f>IF(AK16="Neaktivní",0,IF(ISBLANK(AL17),0,AI36))</f>
        <v>0</v>
      </c>
      <c r="AL36" s="129">
        <f>IF(AK16="Neaktivní",0,IF(ISBLANK(AL17),0,AJ36))</f>
        <v>0</v>
      </c>
      <c r="AM36" s="153">
        <f t="shared" si="16"/>
        <v>1.02</v>
      </c>
      <c r="AN36" s="133">
        <f>$E$36*AM36</f>
        <v>2.0400000000000001E-2</v>
      </c>
      <c r="AO36" s="588">
        <f>$F$36*AM36</f>
        <v>2.5500000000000002E-2</v>
      </c>
      <c r="AP36" s="128">
        <f>IF(AP16="Neaktivní",0,IF(ISBLANK(AQ17),0,AN36))</f>
        <v>0</v>
      </c>
      <c r="AQ36" s="129">
        <f>IF(AP16="Neaktivní",0,IF(ISBLANK(AQ17),0,AO36))</f>
        <v>0</v>
      </c>
      <c r="AR36" s="153">
        <f t="shared" si="17"/>
        <v>1.02</v>
      </c>
      <c r="AS36" s="133">
        <f>$E$36*AR36</f>
        <v>2.0400000000000001E-2</v>
      </c>
      <c r="AT36" s="586">
        <f>$F$36*AR36</f>
        <v>2.5500000000000002E-2</v>
      </c>
      <c r="AU36" s="128">
        <f>IF(AU16="Neaktivní",0,IF(ISBLANK(AV17),0,AS36))</f>
        <v>0</v>
      </c>
      <c r="AV36" s="129">
        <f>IF(AU16="Neaktivní",0,IF(ISBLANK(AV17),0,AT36))</f>
        <v>0</v>
      </c>
      <c r="AW36" s="153">
        <f t="shared" si="18"/>
        <v>1.02</v>
      </c>
      <c r="AX36" s="133">
        <f>$E$36*AW36</f>
        <v>2.0400000000000001E-2</v>
      </c>
      <c r="AY36" s="588">
        <f>$F$36*AW36</f>
        <v>2.5500000000000002E-2</v>
      </c>
      <c r="AZ36" s="128">
        <f>IF(AZ16="Neaktivní",0,IF(ISBLANK(BA17),0,AX36))</f>
        <v>0</v>
      </c>
      <c r="BA36" s="129">
        <f>IF(AZ16="Neaktivní",0,IF(ISBLANK(BA17),0,AY36))</f>
        <v>0</v>
      </c>
      <c r="BB36" s="243">
        <f t="shared" si="19"/>
        <v>1.02</v>
      </c>
      <c r="BC36" s="133">
        <f>$E$36*BB36</f>
        <v>2.0400000000000001E-2</v>
      </c>
      <c r="BD36" s="588">
        <f>$F$36*BB36</f>
        <v>2.5500000000000002E-2</v>
      </c>
      <c r="BE36" s="128">
        <f>IF(BE16="Neaktivní",0,IF(ISBLANK(BF17),0,BC36))</f>
        <v>0</v>
      </c>
      <c r="BF36" s="129">
        <f>IF(BE16="Neaktivní",0,IF(ISBLANK(BF17),0,BD36))</f>
        <v>0</v>
      </c>
      <c r="BG36" s="243">
        <f t="shared" si="20"/>
        <v>1.02</v>
      </c>
      <c r="BH36" s="133">
        <f>$E$36*BG36</f>
        <v>2.0400000000000001E-2</v>
      </c>
      <c r="BI36" s="588">
        <f>$F$36*BG36</f>
        <v>2.5500000000000002E-2</v>
      </c>
      <c r="BJ36" s="128">
        <f>IF(BJ16="Neaktivní",0,IF(ISBLANK(BK17),0,BH36))</f>
        <v>0</v>
      </c>
      <c r="BK36" s="129">
        <f>IF(BJ16="Neaktivní",0,IF(ISBLANK(BK17),0,BI36))</f>
        <v>0</v>
      </c>
      <c r="BL36" s="745">
        <f>IF(AND(DAY(Postup!$H$25)=31,MONTH(Postup!$H$25)=12),0,INDEX($E36:$BP36,MATCH($BL$57,$E$57:$BP$57,0))*Výpočty!$E$23)</f>
        <v>0</v>
      </c>
      <c r="BM36" s="129">
        <f>IF(AND(DAY(Postup!$H$25)=31,MONTH(Postup!$H$25)=12),0,INDEX($E36:$BP36,MATCH($BM$57,$E$57:$BP$57,0))*Výpočty!$E$23)</f>
        <v>0</v>
      </c>
      <c r="BN36" s="147"/>
      <c r="BO36" s="147"/>
      <c r="BP36" s="147"/>
    </row>
    <row r="37" spans="1:68" x14ac:dyDescent="0.25">
      <c r="A37" s="195"/>
      <c r="B37" s="42" t="s">
        <v>34</v>
      </c>
      <c r="C37" s="497" t="s">
        <v>384</v>
      </c>
      <c r="D37" s="43" t="s">
        <v>109</v>
      </c>
      <c r="E37" s="698">
        <f>Postup!E35</f>
        <v>0.314</v>
      </c>
      <c r="F37" s="699">
        <f>Postup!E36</f>
        <v>0.88400000000000001</v>
      </c>
      <c r="G37" s="128">
        <f>IF(AND(DAY(Postup!$H$24)=1,MONTH(Postup!$H$24)=1),0,E37*Výpočty!$E$17)</f>
        <v>0.23571506849315069</v>
      </c>
      <c r="H37" s="129">
        <f>IF(AND(DAY(Postup!$H$24)=1,MONTH(Postup!$H$24)=1),0,F37*Výpočty!$E$17)</f>
        <v>0.66360547945205484</v>
      </c>
      <c r="I37" s="698">
        <f>IF(I$16="Neaktivní",0,IF(ISBLANK($J$17),0,IF(AND(DAY(Postup!$H$24)=1,MONTH(Postup!$H$24)=1),E37,G37)))</f>
        <v>0</v>
      </c>
      <c r="J37" s="699">
        <f>IF(I$16="Neaktivní",0,IF(ISBLANK($J$17),0,IF(AND(DAY(Postup!$H$24)=1,MONTH(Postup!$H$24)=1),F37,H37)))</f>
        <v>0</v>
      </c>
      <c r="K37" s="939" t="s">
        <v>122</v>
      </c>
      <c r="L37" s="939"/>
      <c r="M37" s="940"/>
      <c r="N37" s="153">
        <f t="shared" si="11"/>
        <v>1.04</v>
      </c>
      <c r="O37" s="728">
        <f>Postup!F35*N37</f>
        <v>0.32656000000000002</v>
      </c>
      <c r="P37" s="729">
        <f>Postup!F36*N37</f>
        <v>0.91936000000000007</v>
      </c>
      <c r="Q37" s="708">
        <f>IF(Q16="Neaktivní",0,IF(ISBLANK(R17),0,O37))</f>
        <v>0</v>
      </c>
      <c r="R37" s="709">
        <f>IF(Q16="Neaktivní",0,IF(ISBLANK(R17),0,P37))</f>
        <v>0</v>
      </c>
      <c r="S37" s="243">
        <f t="shared" si="12"/>
        <v>1.02</v>
      </c>
      <c r="T37" s="728">
        <f>Postup!G35*S37</f>
        <v>0</v>
      </c>
      <c r="U37" s="729">
        <f>Postup!G36*S37</f>
        <v>0</v>
      </c>
      <c r="V37" s="708">
        <f>IF(V16="Neaktivní",0,IF(ISBLANK(W17),0,T37))</f>
        <v>0</v>
      </c>
      <c r="W37" s="709">
        <f>IF(V16="Neaktivní",0,IF(ISBLANK(W17),0,U37))</f>
        <v>0</v>
      </c>
      <c r="X37" s="153">
        <f t="shared" si="13"/>
        <v>1.02</v>
      </c>
      <c r="Y37" s="728">
        <f>Postup!H35*X37</f>
        <v>0</v>
      </c>
      <c r="Z37" s="729">
        <f>Postup!H36*X37</f>
        <v>0</v>
      </c>
      <c r="AA37" s="708">
        <f>IF(AA16="Neaktivní",0,IF(ISBLANK(AB17),0,Y37))</f>
        <v>0</v>
      </c>
      <c r="AB37" s="709">
        <f>IF(AA16="Neaktivní",0,IF(ISBLANK(AB17),0,Z37))</f>
        <v>0</v>
      </c>
      <c r="AC37" s="153">
        <f t="shared" si="14"/>
        <v>1.02</v>
      </c>
      <c r="AD37" s="728">
        <f>Postup!I35*AC37</f>
        <v>0</v>
      </c>
      <c r="AE37" s="729">
        <f>Postup!I36*AC37</f>
        <v>0</v>
      </c>
      <c r="AF37" s="708">
        <f>IF(AF16="Neaktivní",0,IF(ISBLANK(AG17),0,AD37))</f>
        <v>0</v>
      </c>
      <c r="AG37" s="709">
        <f>IF(AF16="Neaktivní",0,IF(ISBLANK(AG17),0,AE37))</f>
        <v>0</v>
      </c>
      <c r="AH37" s="153">
        <f t="shared" si="15"/>
        <v>1.02</v>
      </c>
      <c r="AI37" s="728">
        <f>Postup!J35*AH37</f>
        <v>0</v>
      </c>
      <c r="AJ37" s="729">
        <f>Postup!J36*AH37</f>
        <v>0</v>
      </c>
      <c r="AK37" s="708">
        <f>IF(AK16="Neaktivní",0,IF(ISBLANK(AL17),0,AI37))</f>
        <v>0</v>
      </c>
      <c r="AL37" s="709">
        <f>IF(AK16="Neaktivní",0,IF(ISBLANK(AL17),0,AJ37))</f>
        <v>0</v>
      </c>
      <c r="AM37" s="153">
        <f t="shared" si="16"/>
        <v>1.02</v>
      </c>
      <c r="AN37" s="728">
        <f>Postup!K35*AM37</f>
        <v>0</v>
      </c>
      <c r="AO37" s="729">
        <f>Postup!K36*Provozování!AM37</f>
        <v>0</v>
      </c>
      <c r="AP37" s="708">
        <f>IF(AP16="Neaktivní",0,IF(ISBLANK(AQ17),0,AN37))</f>
        <v>0</v>
      </c>
      <c r="AQ37" s="709">
        <f>IF(AP16="Neaktivní",0,IF(ISBLANK(AQ17),0,AO37))</f>
        <v>0</v>
      </c>
      <c r="AR37" s="153">
        <f t="shared" si="17"/>
        <v>1.02</v>
      </c>
      <c r="AS37" s="728">
        <f>Postup!L35*AR37</f>
        <v>0</v>
      </c>
      <c r="AT37" s="729">
        <f>Postup!L36*AR37</f>
        <v>0</v>
      </c>
      <c r="AU37" s="708">
        <f>IF(AU16="Neaktivní",0,IF(ISBLANK(AV17),0,AS37))</f>
        <v>0</v>
      </c>
      <c r="AV37" s="709">
        <f>IF(AU16="Neaktivní",0,IF(ISBLANK(AV17),0,AT37))</f>
        <v>0</v>
      </c>
      <c r="AW37" s="153">
        <f t="shared" si="18"/>
        <v>1.02</v>
      </c>
      <c r="AX37" s="728">
        <f>Postup!M35*AW37</f>
        <v>0</v>
      </c>
      <c r="AY37" s="729">
        <f>Postup!M36*AW37</f>
        <v>0</v>
      </c>
      <c r="AZ37" s="708">
        <f>IF(AZ16="Neaktivní",0,IF(ISBLANK(BA17),0,AX37))</f>
        <v>0</v>
      </c>
      <c r="BA37" s="709">
        <f>IF(AZ16="Neaktivní",0,IF(ISBLANK(BA17),0,AY37))</f>
        <v>0</v>
      </c>
      <c r="BB37" s="243">
        <f t="shared" si="19"/>
        <v>1.02</v>
      </c>
      <c r="BC37" s="728">
        <f>Postup!N35*BB37</f>
        <v>0</v>
      </c>
      <c r="BD37" s="729">
        <f>Postup!N36*BB37</f>
        <v>0</v>
      </c>
      <c r="BE37" s="708">
        <f>IF(BE16="Neaktivní",0,IF(ISBLANK(BF17),0,BC37))</f>
        <v>0</v>
      </c>
      <c r="BF37" s="709">
        <f>IF(BE16="Neaktivní",0,IF(ISBLANK(BF17),0,BD37))</f>
        <v>0</v>
      </c>
      <c r="BG37" s="243">
        <f t="shared" si="20"/>
        <v>1.02</v>
      </c>
      <c r="BH37" s="728">
        <f>Postup!O35*BG37</f>
        <v>0</v>
      </c>
      <c r="BI37" s="729">
        <f>Postup!O36*BG37</f>
        <v>0</v>
      </c>
      <c r="BJ37" s="728">
        <f>IF(BJ16="Neaktivní",0,IF(ISBLANK(BK17),0,BH37))</f>
        <v>0</v>
      </c>
      <c r="BK37" s="729">
        <f>IF(BJ16="Neaktivní",0,IF(ISBLANK(BK17),0,BI37))</f>
        <v>0</v>
      </c>
      <c r="BL37" s="133">
        <f>IF(AND(DAY(Postup!$H$25)=31,MONTH(Postup!$H$25)=12),0,INDEX($E37:$BP37,MATCH($BL$57,$E$57:$BP$57,0))*Výpočty!$E$23)</f>
        <v>0</v>
      </c>
      <c r="BM37" s="588">
        <f>IF(AND(DAY(Postup!$H$25)=31,MONTH(Postup!$H$25)=12),0,INDEX($E37:$BP37,MATCH($BM$57,$E$57:$BP$57,0))*Výpočty!$E$23)</f>
        <v>0</v>
      </c>
      <c r="BN37" s="147"/>
      <c r="BO37" s="147"/>
      <c r="BP37" s="147"/>
    </row>
    <row r="38" spans="1:68" x14ac:dyDescent="0.25">
      <c r="A38" s="195"/>
      <c r="B38" s="39" t="s">
        <v>35</v>
      </c>
      <c r="C38" s="40" t="s">
        <v>387</v>
      </c>
      <c r="D38" s="154" t="s">
        <v>109</v>
      </c>
      <c r="E38" s="126">
        <f t="shared" ref="E38:I38" si="28">SUM(E39:E41)</f>
        <v>0.17666660000000001</v>
      </c>
      <c r="F38" s="127">
        <f t="shared" si="28"/>
        <v>0.33500000000000002</v>
      </c>
      <c r="G38" s="126">
        <f t="shared" si="28"/>
        <v>0.13262095452054795</v>
      </c>
      <c r="H38" s="127">
        <f t="shared" si="28"/>
        <v>0.25147945205479455</v>
      </c>
      <c r="I38" s="126">
        <f t="shared" si="28"/>
        <v>0</v>
      </c>
      <c r="J38" s="127">
        <f>SUM(J39:J41)</f>
        <v>0</v>
      </c>
      <c r="K38" s="933"/>
      <c r="L38" s="933"/>
      <c r="M38" s="934"/>
      <c r="N38" s="153" t="str">
        <f t="shared" si="11"/>
        <v xml:space="preserve">-  </v>
      </c>
      <c r="O38" s="590">
        <f>SUM(O39:O41)</f>
        <v>0.18373326400000001</v>
      </c>
      <c r="P38" s="594">
        <f>SUM(P39:P41)</f>
        <v>0.34800000000000003</v>
      </c>
      <c r="Q38" s="126">
        <f>SUM(Q39:Q41)</f>
        <v>0</v>
      </c>
      <c r="R38" s="127">
        <f>SUM(R39:R41)</f>
        <v>0</v>
      </c>
      <c r="S38" s="243" t="str">
        <f t="shared" si="12"/>
        <v xml:space="preserve">-  </v>
      </c>
      <c r="T38" s="590">
        <f>SUM(T39:T41)</f>
        <v>0.18019993200000001</v>
      </c>
      <c r="U38" s="594">
        <f>SUM(U39:U41)</f>
        <v>0.34150000000000003</v>
      </c>
      <c r="V38" s="126">
        <f>SUM(V39:V41)</f>
        <v>0</v>
      </c>
      <c r="W38" s="127">
        <f>SUM(W39:W41)</f>
        <v>0</v>
      </c>
      <c r="X38" s="153" t="str">
        <f t="shared" si="13"/>
        <v xml:space="preserve">-  </v>
      </c>
      <c r="Y38" s="590">
        <f>SUM(Y39:Y41)</f>
        <v>0.18019993200000001</v>
      </c>
      <c r="Z38" s="594">
        <f>SUM(Z39:Z41)</f>
        <v>0.34150000000000003</v>
      </c>
      <c r="AA38" s="126">
        <f>SUM(AA39:AA41)</f>
        <v>0</v>
      </c>
      <c r="AB38" s="127">
        <f>SUM(AB39:AB41)</f>
        <v>0</v>
      </c>
      <c r="AC38" s="153" t="str">
        <f t="shared" si="14"/>
        <v xml:space="preserve">-  </v>
      </c>
      <c r="AD38" s="590">
        <f>SUM(AD39:AD41)</f>
        <v>0.18019993200000001</v>
      </c>
      <c r="AE38" s="594">
        <f>SUM(AE39:AE41)</f>
        <v>0.34150000000000003</v>
      </c>
      <c r="AF38" s="126">
        <f>SUM(AF39:AF41)</f>
        <v>0</v>
      </c>
      <c r="AG38" s="127">
        <f>SUM(AG39:AG41)</f>
        <v>0</v>
      </c>
      <c r="AH38" s="153" t="str">
        <f t="shared" si="15"/>
        <v xml:space="preserve">-  </v>
      </c>
      <c r="AI38" s="590">
        <f>SUM(AI39:AI41)</f>
        <v>0.18019993200000001</v>
      </c>
      <c r="AJ38" s="594">
        <f>SUM(AJ39:AJ41)</f>
        <v>0.34150000000000003</v>
      </c>
      <c r="AK38" s="126">
        <f>SUM(AK39:AK41)</f>
        <v>0</v>
      </c>
      <c r="AL38" s="127">
        <f>SUM(AL39:AL41)</f>
        <v>0</v>
      </c>
      <c r="AM38" s="153" t="str">
        <f t="shared" si="16"/>
        <v xml:space="preserve">-  </v>
      </c>
      <c r="AN38" s="590">
        <f>SUM(AN39:AN41)</f>
        <v>0.18019993200000001</v>
      </c>
      <c r="AO38" s="594">
        <f>SUM(AO39:AO41)</f>
        <v>0.34150000000000003</v>
      </c>
      <c r="AP38" s="126">
        <f>SUM(AP39:AP41)</f>
        <v>0</v>
      </c>
      <c r="AQ38" s="127">
        <f>SUM(AQ39:AQ41)</f>
        <v>0</v>
      </c>
      <c r="AR38" s="153" t="str">
        <f t="shared" si="17"/>
        <v xml:space="preserve">-  </v>
      </c>
      <c r="AS38" s="590">
        <f>SUM(AS39:AS41)</f>
        <v>0.18019993200000001</v>
      </c>
      <c r="AT38" s="585">
        <f>SUM(AT39:AT41)</f>
        <v>0.34150000000000003</v>
      </c>
      <c r="AU38" s="126">
        <f>SUM(AU39:AU41)</f>
        <v>0</v>
      </c>
      <c r="AV38" s="127">
        <f>SUM(AV39:AV41)</f>
        <v>0</v>
      </c>
      <c r="AW38" s="153" t="str">
        <f t="shared" si="18"/>
        <v xml:space="preserve">-  </v>
      </c>
      <c r="AX38" s="590">
        <f>SUM(AX39:AX41)</f>
        <v>0.18019993200000001</v>
      </c>
      <c r="AY38" s="594">
        <f>SUM(AY39:AY41)</f>
        <v>0.34150000000000003</v>
      </c>
      <c r="AZ38" s="126">
        <f>SUM(AZ39:AZ41)</f>
        <v>0</v>
      </c>
      <c r="BA38" s="127">
        <f>SUM(BA39:BA41)</f>
        <v>0</v>
      </c>
      <c r="BB38" s="243" t="str">
        <f t="shared" si="19"/>
        <v xml:space="preserve">-  </v>
      </c>
      <c r="BC38" s="590">
        <f>SUM(BC39:BC41)</f>
        <v>0.18019993200000001</v>
      </c>
      <c r="BD38" s="594">
        <f>SUM(BD39:BD41)</f>
        <v>0.34150000000000003</v>
      </c>
      <c r="BE38" s="126">
        <f>SUM(BE39:BE41)</f>
        <v>0</v>
      </c>
      <c r="BF38" s="127">
        <f>SUM(BF39:BF41)</f>
        <v>0</v>
      </c>
      <c r="BG38" s="243" t="str">
        <f t="shared" si="20"/>
        <v xml:space="preserve">-  </v>
      </c>
      <c r="BH38" s="590">
        <f t="shared" ref="BH38:BM38" si="29">SUM(BH39:BH41)</f>
        <v>0.18019993200000001</v>
      </c>
      <c r="BI38" s="594">
        <f t="shared" si="29"/>
        <v>0.34150000000000003</v>
      </c>
      <c r="BJ38" s="590">
        <f>SUM(BJ39:BJ41)</f>
        <v>0</v>
      </c>
      <c r="BK38" s="594">
        <f>SUM(BK39:BK41)</f>
        <v>0</v>
      </c>
      <c r="BL38" s="590">
        <f t="shared" si="29"/>
        <v>0</v>
      </c>
      <c r="BM38" s="594">
        <f t="shared" si="29"/>
        <v>0</v>
      </c>
      <c r="BN38" s="314"/>
      <c r="BO38" s="314"/>
      <c r="BP38" s="314"/>
    </row>
    <row r="39" spans="1:68" x14ac:dyDescent="0.25">
      <c r="A39" s="195"/>
      <c r="B39" s="42" t="s">
        <v>37</v>
      </c>
      <c r="C39" s="38" t="s">
        <v>38</v>
      </c>
      <c r="D39" s="43" t="s">
        <v>109</v>
      </c>
      <c r="E39" s="150">
        <f>Nabídka!F34</f>
        <v>0</v>
      </c>
      <c r="F39" s="492">
        <f>Nabídka!H34</f>
        <v>0.01</v>
      </c>
      <c r="G39" s="128">
        <f>IF(AND(DAY(Postup!$H$24)=1,MONTH(Postup!$H$24)=1),0,E39*Výpočty!$E$17)</f>
        <v>0</v>
      </c>
      <c r="H39" s="129">
        <f>IF(AND(DAY(Postup!$H$24)=1,MONTH(Postup!$H$24)=1),0,F39*Výpočty!$E$17)</f>
        <v>7.5068493150684933E-3</v>
      </c>
      <c r="I39" s="150">
        <v>0</v>
      </c>
      <c r="J39" s="492">
        <f>IF(I$16="Neaktivní",0,IF(ISBLANK($J$17),0,IF(AND(DAY(Postup!$H$24)=1,MONTH(Postup!$H$24)=1),F39,H39)))</f>
        <v>0</v>
      </c>
      <c r="K39" s="933"/>
      <c r="L39" s="933"/>
      <c r="M39" s="934"/>
      <c r="N39" s="153" t="str">
        <f t="shared" si="11"/>
        <v xml:space="preserve">-  </v>
      </c>
      <c r="O39" s="592">
        <v>0</v>
      </c>
      <c r="P39" s="722">
        <f>Nabídka!H34</f>
        <v>0.01</v>
      </c>
      <c r="Q39" s="150">
        <v>0</v>
      </c>
      <c r="R39" s="492">
        <v>0</v>
      </c>
      <c r="S39" s="243" t="str">
        <f t="shared" si="12"/>
        <v xml:space="preserve">-  </v>
      </c>
      <c r="T39" s="592">
        <v>0</v>
      </c>
      <c r="U39" s="722">
        <f>Nabídka!H34</f>
        <v>0.01</v>
      </c>
      <c r="V39" s="150">
        <v>0</v>
      </c>
      <c r="W39" s="492">
        <v>0</v>
      </c>
      <c r="X39" s="153" t="str">
        <f t="shared" si="13"/>
        <v xml:space="preserve">-  </v>
      </c>
      <c r="Y39" s="592">
        <v>0</v>
      </c>
      <c r="Z39" s="722">
        <f>Nabídka!H34</f>
        <v>0.01</v>
      </c>
      <c r="AA39" s="150">
        <v>0</v>
      </c>
      <c r="AB39" s="492">
        <v>0</v>
      </c>
      <c r="AC39" s="153" t="str">
        <f t="shared" si="14"/>
        <v xml:space="preserve">-  </v>
      </c>
      <c r="AD39" s="592">
        <v>0</v>
      </c>
      <c r="AE39" s="722">
        <f>Nabídka!H34</f>
        <v>0.01</v>
      </c>
      <c r="AF39" s="150">
        <v>0</v>
      </c>
      <c r="AG39" s="492">
        <v>0</v>
      </c>
      <c r="AH39" s="153" t="str">
        <f t="shared" si="15"/>
        <v xml:space="preserve">-  </v>
      </c>
      <c r="AI39" s="592">
        <v>0</v>
      </c>
      <c r="AJ39" s="722">
        <f>Nabídka!H34</f>
        <v>0.01</v>
      </c>
      <c r="AK39" s="150">
        <v>0</v>
      </c>
      <c r="AL39" s="492">
        <v>0</v>
      </c>
      <c r="AM39" s="153" t="str">
        <f t="shared" si="16"/>
        <v xml:space="preserve">-  </v>
      </c>
      <c r="AN39" s="592">
        <v>0</v>
      </c>
      <c r="AO39" s="587">
        <f>Nabídka!H34</f>
        <v>0.01</v>
      </c>
      <c r="AP39" s="150">
        <v>0</v>
      </c>
      <c r="AQ39" s="492">
        <v>0</v>
      </c>
      <c r="AR39" s="153" t="str">
        <f t="shared" si="17"/>
        <v xml:space="preserve">-  </v>
      </c>
      <c r="AS39" s="592">
        <v>0</v>
      </c>
      <c r="AT39" s="587">
        <f>Nabídka!H34</f>
        <v>0.01</v>
      </c>
      <c r="AU39" s="150">
        <v>0</v>
      </c>
      <c r="AV39" s="492">
        <v>0</v>
      </c>
      <c r="AW39" s="153" t="str">
        <f t="shared" si="18"/>
        <v xml:space="preserve">-  </v>
      </c>
      <c r="AX39" s="592">
        <v>0</v>
      </c>
      <c r="AY39" s="599">
        <f>Nabídka!H34</f>
        <v>0.01</v>
      </c>
      <c r="AZ39" s="150">
        <v>0</v>
      </c>
      <c r="BA39" s="492">
        <v>0</v>
      </c>
      <c r="BB39" s="243" t="str">
        <f t="shared" si="19"/>
        <v xml:space="preserve">-  </v>
      </c>
      <c r="BC39" s="592">
        <v>0</v>
      </c>
      <c r="BD39" s="599">
        <f>Nabídka!H34</f>
        <v>0.01</v>
      </c>
      <c r="BE39" s="150">
        <v>0</v>
      </c>
      <c r="BF39" s="492">
        <v>0</v>
      </c>
      <c r="BG39" s="243" t="str">
        <f t="shared" si="20"/>
        <v xml:space="preserve">-  </v>
      </c>
      <c r="BH39" s="592">
        <v>0</v>
      </c>
      <c r="BI39" s="599">
        <f>Nabídka!H34</f>
        <v>0.01</v>
      </c>
      <c r="BJ39" s="592">
        <v>0</v>
      </c>
      <c r="BK39" s="599">
        <v>0</v>
      </c>
      <c r="BL39" s="133">
        <f>IF(AND(DAY(Postup!$H$25)=31,MONTH(Postup!$H$25)=12),0,INDEX($E39:$BP39,MATCH($BL$57,$E$57:$BP$57,0))*Výpočty!$E$23)</f>
        <v>0</v>
      </c>
      <c r="BM39" s="588">
        <f>IF(AND(DAY(Postup!$H$25)=31,MONTH(Postup!$H$25)=12),0,INDEX($E39:$BP39,MATCH($BM$57,$E$57:$BP$57,0))*Výpočty!$E$23)</f>
        <v>0</v>
      </c>
      <c r="BN39" s="147"/>
      <c r="BO39" s="147"/>
      <c r="BP39" s="147"/>
    </row>
    <row r="40" spans="1:68" x14ac:dyDescent="0.25">
      <c r="A40" s="195"/>
      <c r="B40" s="42" t="s">
        <v>39</v>
      </c>
      <c r="C40" s="42" t="s">
        <v>40</v>
      </c>
      <c r="D40" s="43" t="s">
        <v>109</v>
      </c>
      <c r="E40" s="128">
        <f>Nabídka!F35</f>
        <v>5.6666599999999998E-2</v>
      </c>
      <c r="F40" s="129">
        <f>Nabídka!H35</f>
        <v>0.22500000000000001</v>
      </c>
      <c r="G40" s="128">
        <f>IF(AND(DAY(Postup!$H$24)=1,MONTH(Postup!$H$24)=1),0,E40*Výpočty!$E$17)</f>
        <v>4.2538762739726024E-2</v>
      </c>
      <c r="H40" s="129">
        <f>IF(AND(DAY(Postup!$H$24)=1,MONTH(Postup!$H$24)=1),0,F40*Výpočty!$E$17)</f>
        <v>0.16890410958904112</v>
      </c>
      <c r="I40" s="128">
        <f>IF(I$16="Neaktivní",0,IF(ISBLANK($J$17),0,IF(AND(DAY(Postup!$H$24)=1,MONTH(Postup!$H$24)=1),E40,G40)))</f>
        <v>0</v>
      </c>
      <c r="J40" s="129">
        <f>IF(I$16="Neaktivní",0,IF(ISBLANK($J$17),0,IF(AND(DAY(Postup!$H$24)=1,MONTH(Postup!$H$24)=1),F40,H40)))</f>
        <v>0</v>
      </c>
      <c r="K40" s="939" t="s">
        <v>118</v>
      </c>
      <c r="L40" s="939"/>
      <c r="M40" s="940"/>
      <c r="N40" s="153">
        <f t="shared" si="11"/>
        <v>1.04</v>
      </c>
      <c r="O40" s="133">
        <f>($E40+(Nabídka!$J35*O$58*$E$49/1000))*N40</f>
        <v>5.8933263999999999E-2</v>
      </c>
      <c r="P40" s="588">
        <f>($F40+(Nabídka!$K35*P$58*($F$51+$F$53)/1000))*N40</f>
        <v>0.23400000000000001</v>
      </c>
      <c r="Q40" s="128">
        <f>IF(Q16="Neaktivní",0,IF(ISBLANK(R17),0,O40))</f>
        <v>0</v>
      </c>
      <c r="R40" s="129">
        <f>IF(Q16="Neaktivní",0,IF(ISBLANK(R17),0,P40))</f>
        <v>0</v>
      </c>
      <c r="S40" s="243">
        <f t="shared" si="12"/>
        <v>1.02</v>
      </c>
      <c r="T40" s="133">
        <f>($E40+(Nabídka!$J35*T$58*$E$49/1000))*S40</f>
        <v>5.7799931999999998E-2</v>
      </c>
      <c r="U40" s="588">
        <f>($F40+(Nabídka!$K35*U$58*($F$51+$F$53)/1000))*S40</f>
        <v>0.22950000000000001</v>
      </c>
      <c r="V40" s="128">
        <f>IF(V16="Neaktivní",0,IF(ISBLANK(W17),0,T40))</f>
        <v>0</v>
      </c>
      <c r="W40" s="129">
        <f>IF(V16="Neaktivní",0,IF(ISBLANK(W17),0,U40))</f>
        <v>0</v>
      </c>
      <c r="X40" s="153">
        <f t="shared" si="13"/>
        <v>1.02</v>
      </c>
      <c r="Y40" s="133">
        <f>($E40+(Nabídka!$J35*Y$58*$E$49/1000))*X40</f>
        <v>5.7799931999999998E-2</v>
      </c>
      <c r="Z40" s="588">
        <f>($F40+(Nabídka!$K35*Z$58*($F$51+$F$53)/1000))*X40</f>
        <v>0.22950000000000001</v>
      </c>
      <c r="AA40" s="128">
        <f>IF(AA16="Neaktivní",0,IF(ISBLANK(AB17),0,Y40))</f>
        <v>0</v>
      </c>
      <c r="AB40" s="129">
        <f>IF(AA16="Neaktivní",0,IF(ISBLANK(AB17),0,Z40))</f>
        <v>0</v>
      </c>
      <c r="AC40" s="153">
        <f t="shared" si="14"/>
        <v>1.02</v>
      </c>
      <c r="AD40" s="133">
        <f>($E40+(Nabídka!$J35*AD$58*$E$49/1000))*AC40</f>
        <v>5.7799931999999998E-2</v>
      </c>
      <c r="AE40" s="588">
        <f>($F40+(Nabídka!$K35*AE$58*($F$51+$F$53)/1000))*AC40</f>
        <v>0.22950000000000001</v>
      </c>
      <c r="AF40" s="128">
        <f>IF(AF16="Neaktivní",0,IF(ISBLANK(AG17),0,AD40))</f>
        <v>0</v>
      </c>
      <c r="AG40" s="129">
        <f>IF(AF16="Neaktivní",0,IF(ISBLANK(AG17),0,AE40))</f>
        <v>0</v>
      </c>
      <c r="AH40" s="153">
        <f t="shared" si="15"/>
        <v>1.02</v>
      </c>
      <c r="AI40" s="133">
        <f>($E40+(Nabídka!$J35*AI$58*$E$49/1000))*AH40</f>
        <v>5.7799931999999998E-2</v>
      </c>
      <c r="AJ40" s="588">
        <f>($F40+(Nabídka!$K35*AJ$58*($F$51+$F$53)/1000))*AH40</f>
        <v>0.22950000000000001</v>
      </c>
      <c r="AK40" s="128">
        <f>IF(AK16="Neaktivní",0,IF(ISBLANK(AL17),0,AI40))</f>
        <v>0</v>
      </c>
      <c r="AL40" s="129">
        <f>IF(AK16="Neaktivní",0,IF(ISBLANK(AL17),0,AJ40))</f>
        <v>0</v>
      </c>
      <c r="AM40" s="153">
        <f t="shared" si="16"/>
        <v>1.02</v>
      </c>
      <c r="AN40" s="133">
        <f>($E40+(Nabídka!$J35*AN$58*$E$49/1000))*AM40</f>
        <v>5.7799931999999998E-2</v>
      </c>
      <c r="AO40" s="588">
        <f>($F40+(Nabídka!$K35*AO$58*($F$51+$F$53)/1000))*AM40</f>
        <v>0.22950000000000001</v>
      </c>
      <c r="AP40" s="128">
        <f>IF(AP16="Neaktivní",0,IF(ISBLANK(AQ17),0,AN40))</f>
        <v>0</v>
      </c>
      <c r="AQ40" s="129">
        <f>IF(AP16="Neaktivní",0,IF(ISBLANK(AQ17),0,AO40))</f>
        <v>0</v>
      </c>
      <c r="AR40" s="153">
        <f t="shared" si="17"/>
        <v>1.02</v>
      </c>
      <c r="AS40" s="133">
        <f>($E40+(Nabídka!$J35*AS$58*$E$49/1000))*AR40</f>
        <v>5.7799931999999998E-2</v>
      </c>
      <c r="AT40" s="586">
        <f>($F40+(Nabídka!$K35*AT$58*($F$51+$F$53)/1000))*AR40</f>
        <v>0.22950000000000001</v>
      </c>
      <c r="AU40" s="128">
        <f>IF(AU16="Neaktivní",0,IF(ISBLANK(AV17),0,AS40))</f>
        <v>0</v>
      </c>
      <c r="AV40" s="129">
        <f>IF(AU16="Neaktivní",0,IF(ISBLANK(AV17),0,AT40))</f>
        <v>0</v>
      </c>
      <c r="AW40" s="153">
        <f t="shared" si="18"/>
        <v>1.02</v>
      </c>
      <c r="AX40" s="133">
        <f>($E40+(Nabídka!$J35*AX$58*$E$49/1000))*AW40</f>
        <v>5.7799931999999998E-2</v>
      </c>
      <c r="AY40" s="588">
        <f>($F40+(Nabídka!$K35*AY$58*($F$51+$F$53)/1000))*AW40</f>
        <v>0.22950000000000001</v>
      </c>
      <c r="AZ40" s="128">
        <f>IF(AZ16="Neaktivní",0,IF(ISBLANK(BA17),0,AX40))</f>
        <v>0</v>
      </c>
      <c r="BA40" s="129">
        <f>IF(AZ16="Neaktivní",0,IF(ISBLANK(BA17),0,AY40))</f>
        <v>0</v>
      </c>
      <c r="BB40" s="243">
        <f t="shared" si="19"/>
        <v>1.02</v>
      </c>
      <c r="BC40" s="133">
        <f>($E40+(Nabídka!$J35*BC$58*$E$49/1000))*BB40</f>
        <v>5.7799931999999998E-2</v>
      </c>
      <c r="BD40" s="588">
        <f>($F40+(Nabídka!$K35*BD$58*($F$51+$F$53)/1000))*BB40</f>
        <v>0.22950000000000001</v>
      </c>
      <c r="BE40" s="128">
        <f>IF(BE16="Neaktivní",0,IF(ISBLANK(BF17),0,BC40))</f>
        <v>0</v>
      </c>
      <c r="BF40" s="129">
        <f>IF(BE16="Neaktivní",0,IF(ISBLANK(BF17),0,BD40))</f>
        <v>0</v>
      </c>
      <c r="BG40" s="243">
        <f t="shared" si="20"/>
        <v>1.02</v>
      </c>
      <c r="BH40" s="133">
        <f>($E40+(Nabídka!$J35*BH$58*$E$49/1000))*BG40</f>
        <v>5.7799931999999998E-2</v>
      </c>
      <c r="BI40" s="588">
        <f>($F40+(Nabídka!$K35*BI$58*($F$51+$F$53)/1000))*BG40</f>
        <v>0.22950000000000001</v>
      </c>
      <c r="BJ40" s="133">
        <f>IF(BJ16="Neaktivní",0,IF(ISBLANK(BK17),0,BH40))</f>
        <v>0</v>
      </c>
      <c r="BK40" s="588">
        <f>IF(BJ16="Neaktivní",0,IF(ISBLANK(BK17),0,BI40))</f>
        <v>0</v>
      </c>
      <c r="BL40" s="133">
        <f>IF(AND(DAY(Postup!$H$25)=31,MONTH(Postup!$H$25)=12),0,INDEX($E40:$BP40,MATCH($BL$57,$E$57:$BP$57,0))*Výpočty!$E$23)</f>
        <v>0</v>
      </c>
      <c r="BM40" s="588">
        <f>IF(AND(DAY(Postup!$H$25)=31,MONTH(Postup!$H$25)=12),0,INDEX($E40:$BP40,MATCH($BM$57,$E$57:$BP$57,0))*Výpočty!$E$23)</f>
        <v>0</v>
      </c>
      <c r="BN40" s="147"/>
      <c r="BO40" s="147"/>
      <c r="BP40" s="147"/>
    </row>
    <row r="41" spans="1:68" x14ac:dyDescent="0.25">
      <c r="A41" s="195"/>
      <c r="B41" s="42" t="s">
        <v>41</v>
      </c>
      <c r="C41" s="38" t="s">
        <v>42</v>
      </c>
      <c r="D41" s="43" t="s">
        <v>109</v>
      </c>
      <c r="E41" s="128">
        <f>Nabídka!F36</f>
        <v>0.12</v>
      </c>
      <c r="F41" s="129">
        <f>Nabídka!H36</f>
        <v>0.1</v>
      </c>
      <c r="G41" s="128">
        <f>IF(AND(DAY(Postup!$H$24)=1,MONTH(Postup!$H$24)=1),0,E41*Výpočty!$E$17)</f>
        <v>9.0082191780821913E-2</v>
      </c>
      <c r="H41" s="129">
        <f>IF(AND(DAY(Postup!$H$24)=1,MONTH(Postup!$H$24)=1),0,F41*Výpočty!$E$17)</f>
        <v>7.5068493150684937E-2</v>
      </c>
      <c r="I41" s="128">
        <f>IF(I$16="Neaktivní",0,IF(ISBLANK($J$17),0,IF(AND(DAY(Postup!$H$24)=1,MONTH(Postup!$H$24)=1),E41,G41)))</f>
        <v>0</v>
      </c>
      <c r="J41" s="129">
        <f>IF(I$16="Neaktivní",0,IF(ISBLANK($J$17),0,IF(AND(DAY(Postup!$H$24)=1,MONTH(Postup!$H$24)=1),F41,H41)))</f>
        <v>0</v>
      </c>
      <c r="K41" s="939" t="s">
        <v>118</v>
      </c>
      <c r="L41" s="939"/>
      <c r="M41" s="940"/>
      <c r="N41" s="153">
        <f t="shared" si="11"/>
        <v>1.04</v>
      </c>
      <c r="O41" s="133">
        <f>($E41+(Nabídka!$J36*O$58*$E$49/1000))*N41</f>
        <v>0.12479999999999999</v>
      </c>
      <c r="P41" s="588">
        <f>($F41+(Nabídka!$K36*P$58*($F$51+$F$53)/1000))*N41</f>
        <v>0.10400000000000001</v>
      </c>
      <c r="Q41" s="128">
        <f>IF(Q16="Neaktivní",0,IF(ISBLANK(R17),0,O41))</f>
        <v>0</v>
      </c>
      <c r="R41" s="129">
        <f>IF(Q16="Neaktivní",0,IF(ISBLANK(R17),0,P41))</f>
        <v>0</v>
      </c>
      <c r="S41" s="243">
        <f t="shared" si="12"/>
        <v>1.02</v>
      </c>
      <c r="T41" s="133">
        <f>($E41+(Nabídka!$J36*T$58*$E$49/1000))*S41</f>
        <v>0.12239999999999999</v>
      </c>
      <c r="U41" s="588">
        <f>($F41+(Nabídka!$K36*U$58*($F$51+$F$53)/1000))*S41</f>
        <v>0.10200000000000001</v>
      </c>
      <c r="V41" s="128">
        <f>IF(V16="Neaktivní",0,IF(ISBLANK(W17),0,T41))</f>
        <v>0</v>
      </c>
      <c r="W41" s="129">
        <f>IF(V16="Neaktivní",0,IF(ISBLANK(W17),0,U41))</f>
        <v>0</v>
      </c>
      <c r="X41" s="153">
        <f t="shared" si="13"/>
        <v>1.02</v>
      </c>
      <c r="Y41" s="133">
        <f>($E41+(Nabídka!$J36*Y$58*$E$49/1000))*X41</f>
        <v>0.12239999999999999</v>
      </c>
      <c r="Z41" s="588">
        <f>($F41+(Nabídka!$K36*Z$58*($F$51+$F$53)/1000))*X41</f>
        <v>0.10200000000000001</v>
      </c>
      <c r="AA41" s="128">
        <f>IF(AA16="Neaktivní",0,IF(ISBLANK(AB17),0,Y41))</f>
        <v>0</v>
      </c>
      <c r="AB41" s="129">
        <f>IF(AA16="Neaktivní",0,IF(ISBLANK(AB17),0,Z41))</f>
        <v>0</v>
      </c>
      <c r="AC41" s="153">
        <f t="shared" si="14"/>
        <v>1.02</v>
      </c>
      <c r="AD41" s="133">
        <f>($E41+(Nabídka!$J36*AD$58*$E$49/1000))*AC41</f>
        <v>0.12239999999999999</v>
      </c>
      <c r="AE41" s="588">
        <f>($F41+(Nabídka!$K36*AE$58*($F$51+$F$53)/1000))*AC41</f>
        <v>0.10200000000000001</v>
      </c>
      <c r="AF41" s="128">
        <f>IF(AF16="Neaktivní",0,IF(ISBLANK(AG17),0,AD41))</f>
        <v>0</v>
      </c>
      <c r="AG41" s="129">
        <f>IF(AF16="Neaktivní",0,IF(ISBLANK(AG17),0,AE41))</f>
        <v>0</v>
      </c>
      <c r="AH41" s="153">
        <f t="shared" si="15"/>
        <v>1.02</v>
      </c>
      <c r="AI41" s="133">
        <f>($E41+(Nabídka!$J36*AI$58*$E$49/1000))*AH41</f>
        <v>0.12239999999999999</v>
      </c>
      <c r="AJ41" s="588">
        <f>($F41+(Nabídka!$K36*AJ$58*($F$51+$F$53)/1000))*AH41</f>
        <v>0.10200000000000001</v>
      </c>
      <c r="AK41" s="128">
        <f>IF(AK16="Neaktivní",0,IF(ISBLANK(AL17),0,AI41))</f>
        <v>0</v>
      </c>
      <c r="AL41" s="129">
        <f>IF(AK16="Neaktivní",0,IF(ISBLANK(AL17),0,AJ41))</f>
        <v>0</v>
      </c>
      <c r="AM41" s="153">
        <f t="shared" si="16"/>
        <v>1.02</v>
      </c>
      <c r="AN41" s="133">
        <f>($E41+(Nabídka!$J36*AN$58*$E$49/1000))*AM41</f>
        <v>0.12239999999999999</v>
      </c>
      <c r="AO41" s="588">
        <f>($F41+(Nabídka!$K36*AO$58*($F$51+$F$53)/1000))*AM41</f>
        <v>0.10200000000000001</v>
      </c>
      <c r="AP41" s="128">
        <f>IF(AP16="Neaktivní",0,IF(ISBLANK(AQ17),0,AN41))</f>
        <v>0</v>
      </c>
      <c r="AQ41" s="129">
        <f>IF(AP16="Neaktivní",0,IF(ISBLANK(AQ17),0,AO41))</f>
        <v>0</v>
      </c>
      <c r="AR41" s="153">
        <f t="shared" si="17"/>
        <v>1.02</v>
      </c>
      <c r="AS41" s="133">
        <f>($E41+(Nabídka!$J36*AS$58*$E$49/1000))*AR41</f>
        <v>0.12239999999999999</v>
      </c>
      <c r="AT41" s="586">
        <f>($F41+(Nabídka!$K36*AT$58*($F$51+$F$53)/1000))*AR41</f>
        <v>0.10200000000000001</v>
      </c>
      <c r="AU41" s="128">
        <f>IF(AU16="Neaktivní",0,IF(ISBLANK(AV17),0,AS41))</f>
        <v>0</v>
      </c>
      <c r="AV41" s="129">
        <f>IF(AU16="Neaktivní",0,IF(ISBLANK(AV17),0,AT41))</f>
        <v>0</v>
      </c>
      <c r="AW41" s="153">
        <f t="shared" si="18"/>
        <v>1.02</v>
      </c>
      <c r="AX41" s="133">
        <f>($E41+(Nabídka!$J36*AX$58*$E$49/1000))*AW41</f>
        <v>0.12239999999999999</v>
      </c>
      <c r="AY41" s="588">
        <f>($F41+(Nabídka!$K36*AY$58*($F$51+$F$53)/1000))*AW41</f>
        <v>0.10200000000000001</v>
      </c>
      <c r="AZ41" s="128">
        <f>IF(AZ16="Neaktivní",0,IF(ISBLANK(BA17),0,AX41))</f>
        <v>0</v>
      </c>
      <c r="BA41" s="129">
        <f>IF(AZ16="Neaktivní",0,IF(ISBLANK(BA17),0,AY41))</f>
        <v>0</v>
      </c>
      <c r="BB41" s="243">
        <f t="shared" si="19"/>
        <v>1.02</v>
      </c>
      <c r="BC41" s="133">
        <f>($E41+(Nabídka!$J36*BC$58*$E$49/1000))*BB41</f>
        <v>0.12239999999999999</v>
      </c>
      <c r="BD41" s="588">
        <f>($F41+(Nabídka!$K36*BD$58*($F$51+$F$53)/1000))*BB41</f>
        <v>0.10200000000000001</v>
      </c>
      <c r="BE41" s="128">
        <f>IF(BE16="Neaktivní",0,IF(ISBLANK(BF17),0,BC41))</f>
        <v>0</v>
      </c>
      <c r="BF41" s="129">
        <f>IF(BE16="Neaktivní",0,IF(ISBLANK(BF17),0,BD41))</f>
        <v>0</v>
      </c>
      <c r="BG41" s="243">
        <f t="shared" si="20"/>
        <v>1.02</v>
      </c>
      <c r="BH41" s="133">
        <f>($E41+(Nabídka!$J36*BH$58*$E$49/1000))*BG41</f>
        <v>0.12239999999999999</v>
      </c>
      <c r="BI41" s="588">
        <f>($F41+(Nabídka!$K36*BI$58*($F$51+$F$53)/1000))*BG41</f>
        <v>0.10200000000000001</v>
      </c>
      <c r="BJ41" s="133">
        <f>IF(BJ16="Neaktivní",0,IF(ISBLANK(BK17),0,BH41))</f>
        <v>0</v>
      </c>
      <c r="BK41" s="588">
        <f>IF(BJ16="Neaktivní",0,IF(ISBLANK(BK17),0,BI41))</f>
        <v>0</v>
      </c>
      <c r="BL41" s="745">
        <f>IF(AND(DAY(Postup!$H$25)=31,MONTH(Postup!$H$25)=12),0,INDEX($E41:$BP41,MATCH($BL$57,$E$57:$BP$57,0))*Výpočty!$E$23)</f>
        <v>0</v>
      </c>
      <c r="BM41" s="129">
        <f>IF(AND(DAY(Postup!$H$25)=31,MONTH(Postup!$H$25)=12),0,INDEX($E41:$BP41,MATCH($BM$57,$E$57:$BP$57,0))*Výpočty!$E$23)</f>
        <v>0</v>
      </c>
      <c r="BN41" s="147"/>
      <c r="BO41" s="147"/>
      <c r="BP41" s="147"/>
    </row>
    <row r="42" spans="1:68" x14ac:dyDescent="0.25">
      <c r="A42" s="195"/>
      <c r="B42" s="39" t="s">
        <v>43</v>
      </c>
      <c r="C42" s="40" t="s">
        <v>44</v>
      </c>
      <c r="D42" s="154" t="s">
        <v>109</v>
      </c>
      <c r="E42" s="128">
        <f>Nabídka!F37</f>
        <v>0</v>
      </c>
      <c r="F42" s="129">
        <f>Nabídka!H37</f>
        <v>0</v>
      </c>
      <c r="G42" s="128">
        <f>IF(AND(DAY(Postup!$H$24)=1,MONTH(Postup!$H$24)=1),0,E42*Výpočty!$E$17)</f>
        <v>0</v>
      </c>
      <c r="H42" s="129">
        <f>IF(AND(DAY(Postup!$H$24)=1,MONTH(Postup!$H$24)=1),0,F42*Výpočty!$E$17)</f>
        <v>0</v>
      </c>
      <c r="I42" s="128">
        <f>IF(I$16="Neaktivní",0,IF(ISBLANK($J$17),0,IF(AND(DAY(Postup!$H$24)=1,MONTH(Postup!$H$24)=1),E42,G42)))</f>
        <v>0</v>
      </c>
      <c r="J42" s="129">
        <f>IF(I$16="Neaktivní",0,IF(ISBLANK($J$17),0,IF(AND(DAY(Postup!$H$24)=1,MONTH(Postup!$H$24)=1),F42,H42)))</f>
        <v>0</v>
      </c>
      <c r="K42" s="939" t="s">
        <v>122</v>
      </c>
      <c r="L42" s="939"/>
      <c r="M42" s="940"/>
      <c r="N42" s="153">
        <f t="shared" si="11"/>
        <v>1.04</v>
      </c>
      <c r="O42" s="133">
        <f>$E42*N42</f>
        <v>0</v>
      </c>
      <c r="P42" s="588">
        <f>$F42*N42</f>
        <v>0</v>
      </c>
      <c r="Q42" s="128">
        <f>IF(Q16="Neaktivní",0,IF(ISBLANK(R17),0,O42))</f>
        <v>0</v>
      </c>
      <c r="R42" s="129">
        <f>IF(Q16="Neaktivní",0,IF(ISBLANK(R17),0,P42))</f>
        <v>0</v>
      </c>
      <c r="S42" s="243">
        <f t="shared" si="12"/>
        <v>1.02</v>
      </c>
      <c r="T42" s="133">
        <f>$E42*S42</f>
        <v>0</v>
      </c>
      <c r="U42" s="588">
        <f>$F42*S42</f>
        <v>0</v>
      </c>
      <c r="V42" s="128">
        <f>IF(V16="Neaktivní",0,IF(ISBLANK(W17),0,T42))</f>
        <v>0</v>
      </c>
      <c r="W42" s="129">
        <f>IF(V16="Neaktivní",0,IF(ISBLANK(W17),0,U42))</f>
        <v>0</v>
      </c>
      <c r="X42" s="153">
        <f t="shared" si="13"/>
        <v>1.02</v>
      </c>
      <c r="Y42" s="133">
        <f>$E42*X42</f>
        <v>0</v>
      </c>
      <c r="Z42" s="588">
        <f>$F42*X42</f>
        <v>0</v>
      </c>
      <c r="AA42" s="128">
        <f>IF(AA16="Neaktivní",0,IF(ISBLANK(AB17),0,Y42))</f>
        <v>0</v>
      </c>
      <c r="AB42" s="129">
        <f>IF(AA16="Neaktivní",0,IF(ISBLANK(AB17),0,Z42))</f>
        <v>0</v>
      </c>
      <c r="AC42" s="153">
        <f t="shared" si="14"/>
        <v>1.02</v>
      </c>
      <c r="AD42" s="133">
        <f>$E42*AC42</f>
        <v>0</v>
      </c>
      <c r="AE42" s="588">
        <f>$F42*AC42</f>
        <v>0</v>
      </c>
      <c r="AF42" s="128">
        <f>IF(AF16="Neaktivní",0,IF(ISBLANK(AG17),0,AD42))</f>
        <v>0</v>
      </c>
      <c r="AG42" s="129">
        <f>IF(AF16="Neaktivní",0,IF(ISBLANK(AG17),0,AE42))</f>
        <v>0</v>
      </c>
      <c r="AH42" s="153">
        <f t="shared" si="15"/>
        <v>1.02</v>
      </c>
      <c r="AI42" s="133">
        <f>$E42*AH42</f>
        <v>0</v>
      </c>
      <c r="AJ42" s="588">
        <f>$F42*AH42</f>
        <v>0</v>
      </c>
      <c r="AK42" s="128">
        <f>IF(AK16="Neaktivní",0,IF(ISBLANK(AL17),0,AI42))</f>
        <v>0</v>
      </c>
      <c r="AL42" s="129">
        <f>IF(AK16="Neaktivní",0,IF(ISBLANK(AL17),0,AJ42))</f>
        <v>0</v>
      </c>
      <c r="AM42" s="153">
        <f t="shared" si="16"/>
        <v>1.02</v>
      </c>
      <c r="AN42" s="133">
        <f>$E42*AM42</f>
        <v>0</v>
      </c>
      <c r="AO42" s="588">
        <f>$F42*AM42</f>
        <v>0</v>
      </c>
      <c r="AP42" s="128">
        <f>IF(AP16="Neaktivní",0,IF(ISBLANK(AQ17),0,AN42))</f>
        <v>0</v>
      </c>
      <c r="AQ42" s="129">
        <f>IF(AP16="Neaktivní",0,IF(ISBLANK(AQ17),0,AO42))</f>
        <v>0</v>
      </c>
      <c r="AR42" s="153">
        <f t="shared" si="17"/>
        <v>1.02</v>
      </c>
      <c r="AS42" s="133">
        <f>$E42*AR42</f>
        <v>0</v>
      </c>
      <c r="AT42" s="588">
        <f>$F42*AR42</f>
        <v>0</v>
      </c>
      <c r="AU42" s="128">
        <f>IF(AU16="Neaktivní",0,IF(ISBLANK(AV17),0,AS42))</f>
        <v>0</v>
      </c>
      <c r="AV42" s="129">
        <f>IF(AU16="Neaktivní",0,IF(ISBLANK(AV17),0,AT42))</f>
        <v>0</v>
      </c>
      <c r="AW42" s="153">
        <f t="shared" si="18"/>
        <v>1.02</v>
      </c>
      <c r="AX42" s="133">
        <f>$E42*AW42</f>
        <v>0</v>
      </c>
      <c r="AY42" s="588">
        <f>$F42*AW42</f>
        <v>0</v>
      </c>
      <c r="AZ42" s="128">
        <f>IF(AZ16="Neaktivní",0,IF(ISBLANK(BA17),0,AX42))</f>
        <v>0</v>
      </c>
      <c r="BA42" s="129">
        <f>IF(AZ16="Neaktivní",0,IF(ISBLANK(BA17),0,AY42))</f>
        <v>0</v>
      </c>
      <c r="BB42" s="243">
        <f t="shared" si="19"/>
        <v>1.02</v>
      </c>
      <c r="BC42" s="133">
        <f>$E42*BB42</f>
        <v>0</v>
      </c>
      <c r="BD42" s="588">
        <f>$F42*BB42</f>
        <v>0</v>
      </c>
      <c r="BE42" s="128">
        <f>IF(BE16="Neaktivní",0,IF(ISBLANK(BF17),0,BC42))</f>
        <v>0</v>
      </c>
      <c r="BF42" s="129">
        <f>IF(BE16="Neaktivní",0,IF(ISBLANK(BF17),0,BD42))</f>
        <v>0</v>
      </c>
      <c r="BG42" s="243">
        <f t="shared" si="20"/>
        <v>1.02</v>
      </c>
      <c r="BH42" s="128">
        <f>$E42*BG42</f>
        <v>0</v>
      </c>
      <c r="BI42" s="129">
        <f>$F42*BG42</f>
        <v>0</v>
      </c>
      <c r="BJ42" s="128">
        <f>IF(BJ16="Neaktivní",0,IF(ISBLANK(BK17),0,BH42))</f>
        <v>0</v>
      </c>
      <c r="BK42" s="129">
        <f>IF(BJ16="Neaktivní",0,IF(ISBLANK(BK17),0,BI42))</f>
        <v>0</v>
      </c>
      <c r="BL42" s="745">
        <f>IF(AND(DAY(Postup!$H$25)=31,MONTH(Postup!$H$25)=12),0,INDEX($E42:$BP42,MATCH($BL$57,$E$57:$BP$57,0))*Výpočty!$E$23)</f>
        <v>0</v>
      </c>
      <c r="BM42" s="129">
        <f>IF(AND(DAY(Postup!$H$25)=31,MONTH(Postup!$H$25)=12),0,INDEX($E42:$BP42,MATCH($BM$57,$E$57:$BP$57,0))*Výpočty!$E$23)</f>
        <v>0</v>
      </c>
      <c r="BN42" s="147"/>
      <c r="BO42" s="147"/>
      <c r="BP42" s="147"/>
    </row>
    <row r="43" spans="1:68" x14ac:dyDescent="0.25">
      <c r="A43" s="195"/>
      <c r="B43" s="39" t="s">
        <v>45</v>
      </c>
      <c r="C43" s="40" t="s">
        <v>388</v>
      </c>
      <c r="D43" s="154" t="s">
        <v>109</v>
      </c>
      <c r="E43" s="128">
        <f>Nabídka!F38</f>
        <v>0</v>
      </c>
      <c r="F43" s="129">
        <f>Nabídka!H38</f>
        <v>0</v>
      </c>
      <c r="G43" s="128">
        <f>IF(AND(DAY(Postup!$H$24)=1,MONTH(Postup!$H$24)=1),0,E43*Výpočty!$E$17)</f>
        <v>0</v>
      </c>
      <c r="H43" s="129">
        <f>IF(AND(DAY(Postup!$H$24)=1,MONTH(Postup!$H$24)=1),0,F43*Výpočty!$E$17)</f>
        <v>0</v>
      </c>
      <c r="I43" s="128">
        <f>IF(I$16="Neaktivní",0,IF(ISBLANK($J$17),0,IF(AND(DAY(Postup!$H$24)=1,MONTH(Postup!$H$24)=1),E43,G43)))</f>
        <v>0</v>
      </c>
      <c r="J43" s="129">
        <f>IF(I$16="Neaktivní",0,IF(ISBLANK($J$17),0,IF(AND(DAY(Postup!$H$24)=1,MONTH(Postup!$H$24)=1),F43,H43)))</f>
        <v>0</v>
      </c>
      <c r="K43" s="939" t="s">
        <v>122</v>
      </c>
      <c r="L43" s="939"/>
      <c r="M43" s="940"/>
      <c r="N43" s="153">
        <f t="shared" si="11"/>
        <v>1.04</v>
      </c>
      <c r="O43" s="133">
        <f>$E43*N43</f>
        <v>0</v>
      </c>
      <c r="P43" s="588">
        <f>$F43*N43</f>
        <v>0</v>
      </c>
      <c r="Q43" s="128">
        <f>IF(Q16="Neaktivní",0,IF(ISBLANK(R17),0,O43))</f>
        <v>0</v>
      </c>
      <c r="R43" s="129">
        <f>IF(Q16="Neaktivní",0,IF(ISBLANK(R17),0,P43))</f>
        <v>0</v>
      </c>
      <c r="S43" s="243">
        <f t="shared" si="12"/>
        <v>1.02</v>
      </c>
      <c r="T43" s="133">
        <f>$E43*S43</f>
        <v>0</v>
      </c>
      <c r="U43" s="588">
        <f>$F43*S43</f>
        <v>0</v>
      </c>
      <c r="V43" s="128">
        <f>IF(V16="Neaktivní",0,IF(ISBLANK(W17),0,T43))</f>
        <v>0</v>
      </c>
      <c r="W43" s="129">
        <f>IF(V16="Neaktivní",0,IF(ISBLANK(W17),0,U43))</f>
        <v>0</v>
      </c>
      <c r="X43" s="153">
        <f t="shared" si="13"/>
        <v>1.02</v>
      </c>
      <c r="Y43" s="133">
        <f>$E43*X43</f>
        <v>0</v>
      </c>
      <c r="Z43" s="588">
        <f>$F43*X43</f>
        <v>0</v>
      </c>
      <c r="AA43" s="128">
        <f>IF(AA16="Neaktivní",0,IF(ISBLANK(AB17),0,Y43))</f>
        <v>0</v>
      </c>
      <c r="AB43" s="129">
        <f>IF(AA16="Neaktivní",0,IF(ISBLANK(AB17),0,Z43))</f>
        <v>0</v>
      </c>
      <c r="AC43" s="153">
        <f t="shared" si="14"/>
        <v>1.02</v>
      </c>
      <c r="AD43" s="133">
        <f>$E43*AC43</f>
        <v>0</v>
      </c>
      <c r="AE43" s="588">
        <f>$F43*AC43</f>
        <v>0</v>
      </c>
      <c r="AF43" s="128">
        <f>IF(AF16="Neaktivní",0,IF(ISBLANK(AG17),0,AD43))</f>
        <v>0</v>
      </c>
      <c r="AG43" s="129">
        <f>IF(AF16="Neaktivní",0,IF(ISBLANK(AG17),0,AE43))</f>
        <v>0</v>
      </c>
      <c r="AH43" s="153">
        <f t="shared" si="15"/>
        <v>1.02</v>
      </c>
      <c r="AI43" s="133">
        <f>$E43*AH43</f>
        <v>0</v>
      </c>
      <c r="AJ43" s="588">
        <f>$F43*AH43</f>
        <v>0</v>
      </c>
      <c r="AK43" s="128">
        <f>IF(AK16="Neaktivní",0,IF(ISBLANK(AL17),0,AI43))</f>
        <v>0</v>
      </c>
      <c r="AL43" s="129">
        <f>IF(AK16="Neaktivní",0,IF(ISBLANK(AL17),0,AJ43))</f>
        <v>0</v>
      </c>
      <c r="AM43" s="153">
        <f t="shared" si="16"/>
        <v>1.02</v>
      </c>
      <c r="AN43" s="133">
        <f>$E43*AM43</f>
        <v>0</v>
      </c>
      <c r="AO43" s="588">
        <f>$F43*AM43</f>
        <v>0</v>
      </c>
      <c r="AP43" s="128">
        <f>IF(AP16="Neaktivní",0,IF(ISBLANK(AQ17),0,AN43))</f>
        <v>0</v>
      </c>
      <c r="AQ43" s="129">
        <f>IF(AP16="Neaktivní",0,IF(ISBLANK(AQ17),0,AO43))</f>
        <v>0</v>
      </c>
      <c r="AR43" s="153">
        <f t="shared" si="17"/>
        <v>1.02</v>
      </c>
      <c r="AS43" s="133">
        <f>$E43*AR43</f>
        <v>0</v>
      </c>
      <c r="AT43" s="588">
        <f>$F43*AR43</f>
        <v>0</v>
      </c>
      <c r="AU43" s="128">
        <f>IF(AU16="Neaktivní",0,IF(ISBLANK(AV17),0,AS43))</f>
        <v>0</v>
      </c>
      <c r="AV43" s="129">
        <f>IF(AU16="Neaktivní",0,IF(ISBLANK(AV17),0,AT43))</f>
        <v>0</v>
      </c>
      <c r="AW43" s="153">
        <f t="shared" si="18"/>
        <v>1.02</v>
      </c>
      <c r="AX43" s="133">
        <f>$E43*AW43</f>
        <v>0</v>
      </c>
      <c r="AY43" s="588">
        <f>$F43*AW43</f>
        <v>0</v>
      </c>
      <c r="AZ43" s="128">
        <f>IF(AZ16="Neaktivní",0,IF(ISBLANK(BA17),0,AX43))</f>
        <v>0</v>
      </c>
      <c r="BA43" s="129">
        <f>IF(AZ16="Neaktivní",0,IF(ISBLANK(BA17),0,AY43))</f>
        <v>0</v>
      </c>
      <c r="BB43" s="243">
        <f t="shared" si="19"/>
        <v>1.02</v>
      </c>
      <c r="BC43" s="133">
        <f>$E43*BB43</f>
        <v>0</v>
      </c>
      <c r="BD43" s="588">
        <f>$F43*BB43</f>
        <v>0</v>
      </c>
      <c r="BE43" s="128">
        <f>IF(BE16="Neaktivní",0,IF(ISBLANK(BF17),0,BC43))</f>
        <v>0</v>
      </c>
      <c r="BF43" s="129">
        <f>IF(BE16="Neaktivní",0,IF(ISBLANK(BF17),0,BD43))</f>
        <v>0</v>
      </c>
      <c r="BG43" s="243">
        <f t="shared" si="20"/>
        <v>1.02</v>
      </c>
      <c r="BH43" s="128">
        <f>$E43*BG43</f>
        <v>0</v>
      </c>
      <c r="BI43" s="129">
        <f>$F43*BG43</f>
        <v>0</v>
      </c>
      <c r="BJ43" s="128">
        <f>IF(BJ16="Neaktivní",0,IF(ISBLANK(BK17),0,BH43))</f>
        <v>0</v>
      </c>
      <c r="BK43" s="129">
        <f>IF(BJ16="Neaktivní",0,IF(ISBLANK(BK17),0,BI43))</f>
        <v>0</v>
      </c>
      <c r="BL43" s="745">
        <f>IF(AND(DAY(Postup!$H$25)=31,MONTH(Postup!$H$25)=12),0,INDEX($E43:$BP43,MATCH($BL$57,$E$57:$BP$57,0))*Výpočty!$E$23)</f>
        <v>0</v>
      </c>
      <c r="BM43" s="129">
        <f>IF(AND(DAY(Postup!$H$25)=31,MONTH(Postup!$H$25)=12),0,INDEX($E43:$BP43,MATCH($BM$57,$E$57:$BP$57,0))*Výpočty!$E$23)</f>
        <v>0</v>
      </c>
      <c r="BN43" s="147"/>
      <c r="BO43" s="147"/>
      <c r="BP43" s="147"/>
    </row>
    <row r="44" spans="1:68" x14ac:dyDescent="0.25">
      <c r="A44" s="195"/>
      <c r="B44" s="39" t="s">
        <v>46</v>
      </c>
      <c r="C44" s="40" t="s">
        <v>47</v>
      </c>
      <c r="D44" s="154" t="s">
        <v>109</v>
      </c>
      <c r="E44" s="128">
        <f>Nabídka!F39</f>
        <v>6.7000000000000004E-2</v>
      </c>
      <c r="F44" s="129">
        <f>Nabídka!H39</f>
        <v>0.06</v>
      </c>
      <c r="G44" s="128">
        <f>IF(AND(DAY(Postup!$H$24)=1,MONTH(Postup!$H$24)=1),0,E44*Výpočty!$E$17)</f>
        <v>5.0295890410958909E-2</v>
      </c>
      <c r="H44" s="129">
        <f>IF(AND(DAY(Postup!$H$24)=1,MONTH(Postup!$H$24)=1),0,F44*Výpočty!$E$17)</f>
        <v>4.5041095890410957E-2</v>
      </c>
      <c r="I44" s="128">
        <f>IF(I$16="Neaktivní",0,IF(ISBLANK($J$17),0,IF(AND(DAY(Postup!$H$24)=1,MONTH(Postup!$H$24)=1),E44,G44)))</f>
        <v>0</v>
      </c>
      <c r="J44" s="129">
        <f>IF(I$16="Neaktivní",0,IF(ISBLANK($J$17),0,IF(AND(DAY(Postup!$H$24)=1,MONTH(Postup!$H$24)=1),F44,H44)))</f>
        <v>0</v>
      </c>
      <c r="K44" s="939" t="s">
        <v>122</v>
      </c>
      <c r="L44" s="939"/>
      <c r="M44" s="940"/>
      <c r="N44" s="153">
        <f t="shared" si="11"/>
        <v>1.04</v>
      </c>
      <c r="O44" s="133">
        <f>($E44+(Nabídka!$J39*O$58*$E$49/1000))*N44</f>
        <v>6.9680000000000006E-2</v>
      </c>
      <c r="P44" s="588">
        <f>($F44+(Nabídka!$K39*P$58*($F$51+$F$53)/1000))*N44</f>
        <v>6.2399999999999997E-2</v>
      </c>
      <c r="Q44" s="128">
        <f>IF(Q16="Neaktivní",0,IF(ISBLANK(R17),0,O44))</f>
        <v>0</v>
      </c>
      <c r="R44" s="129">
        <f>IF(Q16="Neaktivní",0,IF(ISBLANK(R17),0,P44))</f>
        <v>0</v>
      </c>
      <c r="S44" s="243">
        <f t="shared" si="12"/>
        <v>1.02</v>
      </c>
      <c r="T44" s="133">
        <f>($E44+(Nabídka!$J39*T$58*$E$49/1000))*S44</f>
        <v>6.8340000000000012E-2</v>
      </c>
      <c r="U44" s="588">
        <f>($F44+(Nabídka!$K39*U$58*($F$51+$F$53)/1000))*S44</f>
        <v>6.1199999999999997E-2</v>
      </c>
      <c r="V44" s="128">
        <f>IF(V16="Neaktivní",0,IF(ISBLANK(W17),0,T44))</f>
        <v>0</v>
      </c>
      <c r="W44" s="129">
        <f>IF(V16="Neaktivní",0,IF(ISBLANK(W17),0,U44))</f>
        <v>0</v>
      </c>
      <c r="X44" s="153">
        <f t="shared" si="13"/>
        <v>1.02</v>
      </c>
      <c r="Y44" s="133">
        <f>($E44+(Nabídka!$J39*Y$58*$E$49/1000))*X44</f>
        <v>6.8340000000000012E-2</v>
      </c>
      <c r="Z44" s="588">
        <f>($F44+(Nabídka!$K39*Z$58*($F$51+$F$53)/1000))*X44</f>
        <v>6.1199999999999997E-2</v>
      </c>
      <c r="AA44" s="128">
        <f>IF(AA16="Neaktivní",0,IF(ISBLANK(AB17),0,Y44))</f>
        <v>0</v>
      </c>
      <c r="AB44" s="129">
        <f>IF(AA16="Neaktivní",0,IF(ISBLANK(AB17),0,Z44))</f>
        <v>0</v>
      </c>
      <c r="AC44" s="153">
        <f t="shared" si="14"/>
        <v>1.02</v>
      </c>
      <c r="AD44" s="133">
        <f>($E44+(Nabídka!$J39*AD$58*$E$49/1000))*AC44</f>
        <v>6.8340000000000012E-2</v>
      </c>
      <c r="AE44" s="588">
        <f>($F44+(Nabídka!$K39*AE$58*($F$51+$F$53)/1000))*AC44</f>
        <v>6.1199999999999997E-2</v>
      </c>
      <c r="AF44" s="128">
        <f>IF(AF16="Neaktivní",0,IF(ISBLANK(AG17),0,AD44))</f>
        <v>0</v>
      </c>
      <c r="AG44" s="129">
        <f>IF(AF16="Neaktivní",0,IF(ISBLANK(AG17),0,AE44))</f>
        <v>0</v>
      </c>
      <c r="AH44" s="153">
        <f t="shared" si="15"/>
        <v>1.02</v>
      </c>
      <c r="AI44" s="133">
        <f>($E44+(Nabídka!$J39*AI$58*$E$49/1000))*AH44</f>
        <v>6.8340000000000012E-2</v>
      </c>
      <c r="AJ44" s="588">
        <f>($F44+(Nabídka!$K39*AJ$58*($F$51+$F$53)/1000))*AH44</f>
        <v>6.1199999999999997E-2</v>
      </c>
      <c r="AK44" s="128">
        <f>IF(AK16="Neaktivní",0,IF(ISBLANK(AL17),0,AI44))</f>
        <v>0</v>
      </c>
      <c r="AL44" s="129">
        <f>IF(AK16="Neaktivní",0,IF(ISBLANK(AL17),0,AJ44))</f>
        <v>0</v>
      </c>
      <c r="AM44" s="153">
        <f t="shared" si="16"/>
        <v>1.02</v>
      </c>
      <c r="AN44" s="133">
        <f>($E44+(Nabídka!$J39*AN$58*$E$49/1000))*AM44</f>
        <v>6.8340000000000012E-2</v>
      </c>
      <c r="AO44" s="588">
        <f>($F44+(Nabídka!$K39*AO$58*($F$51+$F$53)/1000))*AM44</f>
        <v>6.1199999999999997E-2</v>
      </c>
      <c r="AP44" s="128">
        <f>IF(AP16="Neaktivní",0,IF(ISBLANK(AQ17),0,AN44))</f>
        <v>0</v>
      </c>
      <c r="AQ44" s="129">
        <f>IF(AP16="Neaktivní",0,IF(ISBLANK(AQ17),0,AO44))</f>
        <v>0</v>
      </c>
      <c r="AR44" s="153">
        <f t="shared" si="17"/>
        <v>1.02</v>
      </c>
      <c r="AS44" s="133">
        <f>($E44+(Nabídka!$J39*AS$58*$E$49/1000))*AR44</f>
        <v>6.8340000000000012E-2</v>
      </c>
      <c r="AT44" s="586">
        <f>($F44+(Nabídka!$K39*AT$58*($F$51+$F$53)/1000))*AR44</f>
        <v>6.1199999999999997E-2</v>
      </c>
      <c r="AU44" s="128">
        <f>IF(AU16="Neaktivní",0,IF(ISBLANK(AV17),0,AS44))</f>
        <v>0</v>
      </c>
      <c r="AV44" s="129">
        <f>IF(AU16="Neaktivní",0,IF(ISBLANK(AV17),0,AT44))</f>
        <v>0</v>
      </c>
      <c r="AW44" s="153">
        <f t="shared" si="18"/>
        <v>1.02</v>
      </c>
      <c r="AX44" s="133">
        <f>($E44+(Nabídka!$J39*AX$58*$E$49/1000))*AW44</f>
        <v>6.8340000000000012E-2</v>
      </c>
      <c r="AY44" s="588">
        <f>($F44+(Nabídka!$K39*AY$58*($F$51+$F$53)/1000))*AW44</f>
        <v>6.1199999999999997E-2</v>
      </c>
      <c r="AZ44" s="128">
        <f>IF(AZ16="Neaktivní",0,IF(ISBLANK(BA17),0,AX44))</f>
        <v>0</v>
      </c>
      <c r="BA44" s="129">
        <f>IF(AZ16="Neaktivní",0,IF(ISBLANK(BA17),0,AY44))</f>
        <v>0</v>
      </c>
      <c r="BB44" s="243">
        <f t="shared" si="19"/>
        <v>1.02</v>
      </c>
      <c r="BC44" s="133">
        <f>($E44+(Nabídka!$J39*BC$58*$E$49/1000))*BB44</f>
        <v>6.8340000000000012E-2</v>
      </c>
      <c r="BD44" s="588">
        <f>($F44+(Nabídka!$K39*BD$58*($F$51+$F$53)/1000))*BB44</f>
        <v>6.1199999999999997E-2</v>
      </c>
      <c r="BE44" s="128">
        <f>IF(BE16="Neaktivní",0,IF(ISBLANK(BF17),0,BC44))</f>
        <v>0</v>
      </c>
      <c r="BF44" s="129">
        <f>IF(BE16="Neaktivní",0,IF(ISBLANK(BF17),0,BD44))</f>
        <v>0</v>
      </c>
      <c r="BG44" s="243">
        <f t="shared" si="20"/>
        <v>1.02</v>
      </c>
      <c r="BH44" s="128">
        <f>($E44+(Nabídka!$J39*BH$58*$E$49/1000))*BG44</f>
        <v>6.8340000000000012E-2</v>
      </c>
      <c r="BI44" s="129">
        <f>($F44+(Nabídka!$K39*BI$58*($F$51+$F$53)/1000))*BG44</f>
        <v>6.1199999999999997E-2</v>
      </c>
      <c r="BJ44" s="128">
        <f>IF(BJ16="Neaktivní",0,IF(ISBLANK(BK17),0,BH44))</f>
        <v>0</v>
      </c>
      <c r="BK44" s="129">
        <f>IF(BJ16="Neaktivní",0,IF(ISBLANK(BK17),0,BI44))</f>
        <v>0</v>
      </c>
      <c r="BL44" s="745">
        <f>IF(AND(DAY(Postup!$H$25)=31,MONTH(Postup!$H$25)=12),0,INDEX($E44:$BP44,MATCH($BL$57,$E$57:$BP$57,0))*Výpočty!$E$23)</f>
        <v>0</v>
      </c>
      <c r="BM44" s="129">
        <f>IF(AND(DAY(Postup!$H$25)=31,MONTH(Postup!$H$25)=12),0,INDEX($E44:$BP44,MATCH($BM$57,$E$57:$BP$57,0))*Výpočty!$E$23)</f>
        <v>0</v>
      </c>
      <c r="BN44" s="147"/>
      <c r="BO44" s="147"/>
      <c r="BP44" s="147"/>
    </row>
    <row r="45" spans="1:68" x14ac:dyDescent="0.25">
      <c r="A45" s="195"/>
      <c r="B45" s="39" t="s">
        <v>48</v>
      </c>
      <c r="C45" s="40" t="s">
        <v>49</v>
      </c>
      <c r="D45" s="154" t="s">
        <v>109</v>
      </c>
      <c r="E45" s="128">
        <f>Nabídka!F40</f>
        <v>5.3999999999999999E-2</v>
      </c>
      <c r="F45" s="129">
        <f>Nabídka!H40</f>
        <v>0.05</v>
      </c>
      <c r="G45" s="128">
        <f>IF(AND(DAY(Postup!$H$24)=1,MONTH(Postup!$H$24)=1),0,E45*Výpočty!$E$17)</f>
        <v>4.0536986301369864E-2</v>
      </c>
      <c r="H45" s="129">
        <f>IF(AND(DAY(Postup!$H$24)=1,MONTH(Postup!$H$24)=1),0,F45*Výpočty!$E$17)</f>
        <v>3.7534246575342468E-2</v>
      </c>
      <c r="I45" s="128">
        <f>IF(I$16="Neaktivní",0,IF(ISBLANK($J$17),0,IF(AND(DAY(Postup!$H$24)=1,MONTH(Postup!$H$24)=1),E45,G45)))</f>
        <v>0</v>
      </c>
      <c r="J45" s="129">
        <f>IF(I$16="Neaktivní",0,IF(ISBLANK($J$17),0,IF(AND(DAY(Postup!$H$24)=1,MONTH(Postup!$H$24)=1),F45,H45)))</f>
        <v>0</v>
      </c>
      <c r="K45" s="939" t="s">
        <v>122</v>
      </c>
      <c r="L45" s="939"/>
      <c r="M45" s="940"/>
      <c r="N45" s="153">
        <f t="shared" si="11"/>
        <v>1.04</v>
      </c>
      <c r="O45" s="133">
        <f>($E45+(Nabídka!$J40*O$58*$E$49/1000))*N45</f>
        <v>5.6160000000000002E-2</v>
      </c>
      <c r="P45" s="588">
        <f>($F45+(Nabídka!$K40*P$58*($F$51+$F$53)/1000))*N45</f>
        <v>5.2000000000000005E-2</v>
      </c>
      <c r="Q45" s="128">
        <f>IF(Q16="Neaktivní",0,IF(ISBLANK(R17),0,O45))</f>
        <v>0</v>
      </c>
      <c r="R45" s="129">
        <f>IF(Q16="Neaktivní",0,IF(ISBLANK(R17),0,P45))</f>
        <v>0</v>
      </c>
      <c r="S45" s="243">
        <f t="shared" si="12"/>
        <v>1.02</v>
      </c>
      <c r="T45" s="133">
        <f>($E45+(Nabídka!$J40*T$58*$E$49/1000))*S45</f>
        <v>5.5079999999999997E-2</v>
      </c>
      <c r="U45" s="588">
        <f>($F45+(Nabídka!$K40*U$58*($F$51+$F$53)/1000))*S45</f>
        <v>5.1000000000000004E-2</v>
      </c>
      <c r="V45" s="128">
        <f>IF(V16="Neaktivní",0,IF(ISBLANK(W17),0,T45))</f>
        <v>0</v>
      </c>
      <c r="W45" s="129">
        <f>IF(V16="Neaktivní",0,IF(ISBLANK(W17),0,U45))</f>
        <v>0</v>
      </c>
      <c r="X45" s="153">
        <f t="shared" si="13"/>
        <v>1.02</v>
      </c>
      <c r="Y45" s="133">
        <f>($E45+(Nabídka!$J40*Y$58*$E$49/1000))*X45</f>
        <v>5.5079999999999997E-2</v>
      </c>
      <c r="Z45" s="588">
        <f>($F45+(Nabídka!$K40*Z$58*($F$51+$F$53)/1000))*X45</f>
        <v>5.1000000000000004E-2</v>
      </c>
      <c r="AA45" s="128">
        <f>IF(AA16="Neaktivní",0,IF(ISBLANK(AB17),0,Y45))</f>
        <v>0</v>
      </c>
      <c r="AB45" s="129">
        <f>IF(AA16="Neaktivní",0,IF(ISBLANK(AB17),0,Z45))</f>
        <v>0</v>
      </c>
      <c r="AC45" s="153">
        <f t="shared" si="14"/>
        <v>1.02</v>
      </c>
      <c r="AD45" s="133">
        <f>($E45+(Nabídka!$J40*AD$58*$E$49/1000))*AC45</f>
        <v>5.5079999999999997E-2</v>
      </c>
      <c r="AE45" s="588">
        <f>($F45+(Nabídka!$K40*AE$58*($F$51+$F$53)/1000))*AC45</f>
        <v>5.1000000000000004E-2</v>
      </c>
      <c r="AF45" s="128">
        <f>IF(AF16="Neaktivní",0,IF(ISBLANK(AG17),0,AD45))</f>
        <v>0</v>
      </c>
      <c r="AG45" s="129">
        <f>IF(AF16="Neaktivní",0,IF(ISBLANK(AG17),0,AE45))</f>
        <v>0</v>
      </c>
      <c r="AH45" s="153">
        <f t="shared" si="15"/>
        <v>1.02</v>
      </c>
      <c r="AI45" s="133">
        <f>($E45+(Nabídka!$J40*AI$58*$E$49/1000))*AH45</f>
        <v>5.5079999999999997E-2</v>
      </c>
      <c r="AJ45" s="588">
        <f>($F45+(Nabídka!$K40*AJ$58*($F$51+$F$53)/1000))*AH45</f>
        <v>5.1000000000000004E-2</v>
      </c>
      <c r="AK45" s="128">
        <f>IF(AK16="Neaktivní",0,IF(ISBLANK(AL17),0,AI45))</f>
        <v>0</v>
      </c>
      <c r="AL45" s="129">
        <f>IF(AK16="Neaktivní",0,IF(ISBLANK(AL17),0,AJ45))</f>
        <v>0</v>
      </c>
      <c r="AM45" s="153">
        <f t="shared" si="16"/>
        <v>1.02</v>
      </c>
      <c r="AN45" s="133">
        <f>($E45+(Nabídka!$J40*AN$58*$E$49/1000))*AM45</f>
        <v>5.5079999999999997E-2</v>
      </c>
      <c r="AO45" s="588">
        <f>($F45+(Nabídka!$K40*AO$58*($F$51+$F$53)/1000))*AM45</f>
        <v>5.1000000000000004E-2</v>
      </c>
      <c r="AP45" s="128">
        <f>IF(AP16="Neaktivní",0,IF(ISBLANK(AQ17),0,AN45))</f>
        <v>0</v>
      </c>
      <c r="AQ45" s="129">
        <f>IF(AP16="Neaktivní",0,IF(ISBLANK(AQ17),0,AO45))</f>
        <v>0</v>
      </c>
      <c r="AR45" s="153">
        <f t="shared" si="17"/>
        <v>1.02</v>
      </c>
      <c r="AS45" s="133">
        <f>($E45+(Nabídka!$J40*AS$58*$E$49/1000))*AR45</f>
        <v>5.5079999999999997E-2</v>
      </c>
      <c r="AT45" s="586">
        <f>($F45+(Nabídka!$K40*AT$58*($F$51+$F$53)/1000))*AR45</f>
        <v>5.1000000000000004E-2</v>
      </c>
      <c r="AU45" s="128">
        <f>IF(AU16="Neaktivní",0,IF(ISBLANK(AV17),0,AS45))</f>
        <v>0</v>
      </c>
      <c r="AV45" s="129">
        <f>IF(AU16="Neaktivní",0,IF(ISBLANK(AV17),0,AT45))</f>
        <v>0</v>
      </c>
      <c r="AW45" s="153">
        <f t="shared" si="18"/>
        <v>1.02</v>
      </c>
      <c r="AX45" s="133">
        <f>($E45+(Nabídka!$J40*AX$58*$E$49/1000))*AW45</f>
        <v>5.5079999999999997E-2</v>
      </c>
      <c r="AY45" s="588">
        <f>($F45+(Nabídka!$K40*AY$58*($F$51+$F$53)/1000))*AW45</f>
        <v>5.1000000000000004E-2</v>
      </c>
      <c r="AZ45" s="128">
        <f>IF(AZ16="Neaktivní",0,IF(ISBLANK(BA17),0,AX45))</f>
        <v>0</v>
      </c>
      <c r="BA45" s="129">
        <f>IF(AZ16="Neaktivní",0,IF(ISBLANK(BA17),0,AY45))</f>
        <v>0</v>
      </c>
      <c r="BB45" s="243">
        <f t="shared" si="19"/>
        <v>1.02</v>
      </c>
      <c r="BC45" s="133">
        <f>($E45+(Nabídka!$J40*BC$58*$E$49/1000))*BB45</f>
        <v>5.5079999999999997E-2</v>
      </c>
      <c r="BD45" s="588">
        <f>($F45+(Nabídka!$K40*BD$58*($F$51+$F$53)/1000))*BB45</f>
        <v>5.1000000000000004E-2</v>
      </c>
      <c r="BE45" s="128">
        <f>IF(BE16="Neaktivní",0,IF(ISBLANK(BF17),0,BC45))</f>
        <v>0</v>
      </c>
      <c r="BF45" s="129">
        <f>IF(BE16="Neaktivní",0,IF(ISBLANK(BF17),0,BD45))</f>
        <v>0</v>
      </c>
      <c r="BG45" s="243">
        <f t="shared" si="20"/>
        <v>1.02</v>
      </c>
      <c r="BH45" s="128">
        <f>($E45+(Nabídka!$J40*BH$58*$E$49/1000))*BG45</f>
        <v>5.5079999999999997E-2</v>
      </c>
      <c r="BI45" s="129">
        <f>($F45+(Nabídka!$K40*BI$58*($F$51+$F$53)/1000))*BG45</f>
        <v>5.1000000000000004E-2</v>
      </c>
      <c r="BJ45" s="128">
        <f>IF(BJ16="Neaktivní",0,IF(ISBLANK(BK17),0,BH45))</f>
        <v>0</v>
      </c>
      <c r="BK45" s="129">
        <f>IF(BJ16="Neaktivní",0,IF(ISBLANK(BK17),0,BI45))</f>
        <v>0</v>
      </c>
      <c r="BL45" s="745">
        <f>IF(AND(DAY(Postup!$H$25)=31,MONTH(Postup!$H$25)=12),0,INDEX($E45:$BP45,MATCH($BL$57,$E$57:$BP$57,0))*Výpočty!$E$23)</f>
        <v>0</v>
      </c>
      <c r="BM45" s="129">
        <f>IF(AND(DAY(Postup!$H$25)=31,MONTH(Postup!$H$25)=12),0,INDEX($E45:$BP45,MATCH($BM$57,$E$57:$BP$57,0))*Výpočty!$E$23)</f>
        <v>0</v>
      </c>
      <c r="BN45" s="147"/>
      <c r="BO45" s="147"/>
      <c r="BP45" s="147"/>
    </row>
    <row r="46" spans="1:68" x14ac:dyDescent="0.25">
      <c r="A46" s="195"/>
      <c r="B46" s="42" t="s">
        <v>386</v>
      </c>
      <c r="C46" s="42" t="s">
        <v>385</v>
      </c>
      <c r="D46" s="526" t="s">
        <v>109</v>
      </c>
      <c r="E46" s="128">
        <f>Nabídka!F41</f>
        <v>0.02</v>
      </c>
      <c r="F46" s="129">
        <f>Nabídka!H41</f>
        <v>0.02</v>
      </c>
      <c r="G46" s="128">
        <f>IF(AND(DAY(Postup!$H$24)=1,MONTH(Postup!$H$24)=1),0,E46*Výpočty!$E$17)</f>
        <v>1.5013698630136987E-2</v>
      </c>
      <c r="H46" s="129">
        <f>IF(AND(DAY(Postup!$H$24)=1,MONTH(Postup!$H$24)=1),0,F46*Výpočty!$E$17)</f>
        <v>1.5013698630136987E-2</v>
      </c>
      <c r="I46" s="128">
        <f>IF(I$16="Neaktivní",0,IF(ISBLANK($J$17),0,IF(AND(DAY(Postup!$H$24)=1,MONTH(Postup!$H$24)=1),E46,G46)))</f>
        <v>0</v>
      </c>
      <c r="J46" s="129">
        <f>IF(I$16="Neaktivní",0,IF(ISBLANK($J$17),0,IF(AND(DAY(Postup!$H$24)=1,MONTH(Postup!$H$24)=1),F46,H46)))</f>
        <v>0</v>
      </c>
      <c r="K46" s="975"/>
      <c r="L46" s="976"/>
      <c r="M46" s="977"/>
      <c r="N46" s="153"/>
      <c r="O46" s="133">
        <f>Nabídka!F41</f>
        <v>0.02</v>
      </c>
      <c r="P46" s="588">
        <f>Nabídka!H41</f>
        <v>0.02</v>
      </c>
      <c r="Q46" s="128">
        <f>IF(Q16="Neaktivní",0,IF(ISBLANK(R17),0,O46))</f>
        <v>0</v>
      </c>
      <c r="R46" s="129">
        <f>IF(Q16="Neaktivní",0,IF(ISBLANK(R17),0,P46))</f>
        <v>0</v>
      </c>
      <c r="S46" s="243"/>
      <c r="T46" s="133">
        <f>Nabídka!F41</f>
        <v>0.02</v>
      </c>
      <c r="U46" s="588">
        <f>Nabídka!H41</f>
        <v>0.02</v>
      </c>
      <c r="V46" s="128">
        <f>IF(V16="Neaktivní",0,IF(ISBLANK(W17),0,T46))</f>
        <v>0</v>
      </c>
      <c r="W46" s="129">
        <f>IF(V16="Neaktivní",0,IF(ISBLANK(W17),0,U46))</f>
        <v>0</v>
      </c>
      <c r="X46" s="153"/>
      <c r="Y46" s="133">
        <f>Nabídka!F41</f>
        <v>0.02</v>
      </c>
      <c r="Z46" s="588">
        <f>Nabídka!H41</f>
        <v>0.02</v>
      </c>
      <c r="AA46" s="128">
        <f>IF(AA16="Neaktivní",0,IF(ISBLANK(AB17),0,Y46))</f>
        <v>0</v>
      </c>
      <c r="AB46" s="129">
        <f>IF(AA16="Neaktivní",0,IF(ISBLANK(AB17),0,Z46))</f>
        <v>0</v>
      </c>
      <c r="AC46" s="153"/>
      <c r="AD46" s="133">
        <f>Nabídka!F41</f>
        <v>0.02</v>
      </c>
      <c r="AE46" s="588">
        <f>Nabídka!H41</f>
        <v>0.02</v>
      </c>
      <c r="AF46" s="128">
        <f>IF(AF16="Neaktivní",0,IF(ISBLANK(AG17),0,AD46))</f>
        <v>0</v>
      </c>
      <c r="AG46" s="129">
        <f>IF(AF16="Neaktivní",0,IF(ISBLANK(AG17),0,AE46))</f>
        <v>0</v>
      </c>
      <c r="AH46" s="153"/>
      <c r="AI46" s="133">
        <f>Nabídka!F41</f>
        <v>0.02</v>
      </c>
      <c r="AJ46" s="588">
        <f>Nabídka!H41</f>
        <v>0.02</v>
      </c>
      <c r="AK46" s="128">
        <f>IF(AK16="Neaktivní",0,IF(ISBLANK(AL17),0,AI46))</f>
        <v>0</v>
      </c>
      <c r="AL46" s="129">
        <f>IF(AK16="Neaktivní",0,IF(ISBLANK(AL17),0,AJ46))</f>
        <v>0</v>
      </c>
      <c r="AM46" s="153"/>
      <c r="AN46" s="133">
        <f>Nabídka!F41</f>
        <v>0.02</v>
      </c>
      <c r="AO46" s="588">
        <f>Nabídka!H41</f>
        <v>0.02</v>
      </c>
      <c r="AP46" s="128">
        <f>IF(AP16="Neaktivní",0,IF(ISBLANK(AQ17),0,AN46))</f>
        <v>0</v>
      </c>
      <c r="AQ46" s="129">
        <f>IF(AP16="Neaktivní",0,IF(ISBLANK(AQ17),0,AO46))</f>
        <v>0</v>
      </c>
      <c r="AR46" s="153"/>
      <c r="AS46" s="133">
        <f>Nabídka!F41</f>
        <v>0.02</v>
      </c>
      <c r="AT46" s="586">
        <f>Nabídka!H41</f>
        <v>0.02</v>
      </c>
      <c r="AU46" s="128">
        <f>IF(AU16="Neaktivní",0,IF(ISBLANK(AV17),0,AS46))</f>
        <v>0</v>
      </c>
      <c r="AV46" s="129">
        <f>IF(AU16="Neaktivní",0,IF(ISBLANK(AV17),0,AT46))</f>
        <v>0</v>
      </c>
      <c r="AW46" s="153"/>
      <c r="AX46" s="133">
        <f>Nabídka!F41</f>
        <v>0.02</v>
      </c>
      <c r="AY46" s="588">
        <f>Nabídka!H41</f>
        <v>0.02</v>
      </c>
      <c r="AZ46" s="128">
        <f>IF(AZ16="Neaktivní",0,IF(ISBLANK(BA17),0,AX46))</f>
        <v>0</v>
      </c>
      <c r="BA46" s="129">
        <f>IF(AZ16="Neaktivní",0,IF(ISBLANK(BA17),0,AY46))</f>
        <v>0</v>
      </c>
      <c r="BB46" s="243"/>
      <c r="BC46" s="133">
        <f>Nabídka!F41</f>
        <v>0.02</v>
      </c>
      <c r="BD46" s="588">
        <f>Nabídka!H41</f>
        <v>0.02</v>
      </c>
      <c r="BE46" s="128">
        <f>IF(BE16="Neaktivní",0,IF(ISBLANK(BF17),0,BC46))</f>
        <v>0</v>
      </c>
      <c r="BF46" s="129">
        <f>IF(BE16="Neaktivní",0,IF(ISBLANK(BF17),0,BD46))</f>
        <v>0</v>
      </c>
      <c r="BG46" s="243"/>
      <c r="BH46" s="133">
        <f>Nabídka!F41</f>
        <v>0.02</v>
      </c>
      <c r="BI46" s="588">
        <f>Nabídka!H41</f>
        <v>0.02</v>
      </c>
      <c r="BJ46" s="128">
        <f>IF(BJ16="Neaktivní",0,IF(ISBLANK(BK17),0,BH46))</f>
        <v>0</v>
      </c>
      <c r="BK46" s="129">
        <f>IF(BJ16="Neaktivní",0,IF(ISBLANK(BK17),0,BI46))</f>
        <v>0</v>
      </c>
      <c r="BL46" s="745">
        <f>$E$46</f>
        <v>0.02</v>
      </c>
      <c r="BM46" s="129">
        <f>$F$46</f>
        <v>0.02</v>
      </c>
      <c r="BN46" s="147"/>
      <c r="BO46" s="147"/>
      <c r="BP46" s="147"/>
    </row>
    <row r="47" spans="1:68" x14ac:dyDescent="0.25">
      <c r="A47" s="195"/>
      <c r="B47" s="39" t="s">
        <v>50</v>
      </c>
      <c r="C47" s="40" t="s">
        <v>391</v>
      </c>
      <c r="D47" s="154" t="s">
        <v>109</v>
      </c>
      <c r="E47" s="126">
        <f t="shared" ref="E47:J47" si="30">E22+E27+E30+E33+E38+SUM(E42:E45)</f>
        <v>0.79499992232999994</v>
      </c>
      <c r="F47" s="127">
        <f t="shared" si="30"/>
        <v>2.0639999680000001</v>
      </c>
      <c r="G47" s="126">
        <f t="shared" si="30"/>
        <v>0.59679446224224653</v>
      </c>
      <c r="H47" s="127">
        <f t="shared" si="30"/>
        <v>1.5494136746082192</v>
      </c>
      <c r="I47" s="126">
        <f t="shared" si="30"/>
        <v>0</v>
      </c>
      <c r="J47" s="127">
        <f t="shared" si="30"/>
        <v>0</v>
      </c>
      <c r="K47" s="933"/>
      <c r="L47" s="933"/>
      <c r="M47" s="934"/>
      <c r="N47" s="153" t="str">
        <f t="shared" si="11"/>
        <v xml:space="preserve">-  </v>
      </c>
      <c r="O47" s="590">
        <f>O22+O27+O30+O33+O38+SUM(O42:O45)</f>
        <v>0.82359991922319997</v>
      </c>
      <c r="P47" s="594">
        <f>P22+P27+P30+P33+P38+SUM(P42:P45)</f>
        <v>2.1461599667199995</v>
      </c>
      <c r="Q47" s="126">
        <f>Q22+Q27+Q30+Q33+Q38+SUM(Q42:Q45)</f>
        <v>0</v>
      </c>
      <c r="R47" s="127">
        <f>R22+R27+R30+R33+R38+SUM(R42:R45)</f>
        <v>0</v>
      </c>
      <c r="S47" s="243" t="str">
        <f t="shared" si="12"/>
        <v xml:space="preserve">-  </v>
      </c>
      <c r="T47" s="590">
        <f>T22+T27+T30+T33+T38+SUM(T42:T45)</f>
        <v>0.48901992077659995</v>
      </c>
      <c r="U47" s="594">
        <f>U22+U27+U30+U33+U38+SUM(U42:U45)</f>
        <v>1.20339996736</v>
      </c>
      <c r="V47" s="126">
        <f>V22+V27+V30+V33+V38+SUM(V42:V45)</f>
        <v>3.7399996259999999E-2</v>
      </c>
      <c r="W47" s="127">
        <f>W22+W27+W30+W33+W38+SUM(W42:W45)</f>
        <v>0.40799999591999997</v>
      </c>
      <c r="X47" s="153" t="str">
        <f t="shared" si="13"/>
        <v xml:space="preserve">-  </v>
      </c>
      <c r="Y47" s="590">
        <f>Y22+Y27+Y30+Y33+Y38+SUM(Y42:Y45)</f>
        <v>0.48901992077659995</v>
      </c>
      <c r="Z47" s="594">
        <f>Z22+Z27+Z30+Z33+Z38+SUM(Z42:Z45)</f>
        <v>1.20339996736</v>
      </c>
      <c r="AA47" s="126">
        <f>AA22+AA27+AA30+AA33+AA38+SUM(AA42:AA45)</f>
        <v>3.7399996259999999E-2</v>
      </c>
      <c r="AB47" s="127">
        <f>AB22+AB27+AB30+AB33+AB38+SUM(AB42:AB45)</f>
        <v>0.40799999591999997</v>
      </c>
      <c r="AC47" s="153" t="str">
        <f t="shared" si="14"/>
        <v xml:space="preserve">-  </v>
      </c>
      <c r="AD47" s="590">
        <f>AD22+AD27+AD30+AD33+AD38+SUM(AD42:AD45)</f>
        <v>0.48901992077659995</v>
      </c>
      <c r="AE47" s="594">
        <f>AE22+AE27+AE30+AE33+AE38+SUM(AE42:AE45)</f>
        <v>1.20339996736</v>
      </c>
      <c r="AF47" s="126">
        <f>AF22+AF27+AF30+AF33+AF38+SUM(AF42:AF45)</f>
        <v>3.7399996259999999E-2</v>
      </c>
      <c r="AG47" s="127">
        <f>AG22+AG27+AG30+AG33+AG38+SUM(AG42:AG45)</f>
        <v>0.40799999591999997</v>
      </c>
      <c r="AH47" s="153" t="str">
        <f t="shared" si="15"/>
        <v xml:space="preserve">-  </v>
      </c>
      <c r="AI47" s="590">
        <f>AI22+AI27+AI30+AI33+AI38+SUM(AI42:AI45)</f>
        <v>0.48901992077659995</v>
      </c>
      <c r="AJ47" s="594">
        <f>AJ22+AJ27+AJ30+AJ33+AJ38+SUM(AJ42:AJ45)</f>
        <v>1.20339996736</v>
      </c>
      <c r="AK47" s="126">
        <f>AK22+AK27+AK30+AK33+AK38+SUM(AK42:AK45)</f>
        <v>3.7399996259999999E-2</v>
      </c>
      <c r="AL47" s="127">
        <f>AL22+AL27+AL30+AL33+AL38+SUM(AL42:AL45)</f>
        <v>0.40799999591999997</v>
      </c>
      <c r="AM47" s="153" t="str">
        <f t="shared" si="16"/>
        <v xml:space="preserve">-  </v>
      </c>
      <c r="AN47" s="590">
        <f>AN22+AN27+AN30+AN33+AN38+SUM(AN42:AN45)</f>
        <v>0.48901992077659995</v>
      </c>
      <c r="AO47" s="594">
        <f>AO22+AO27+AO30+AO33+AO38+SUM(AO42:AO45)</f>
        <v>1.20339996736</v>
      </c>
      <c r="AP47" s="126">
        <f>AP22+AP27+AP30+AP33+AP38+SUM(AP42:AP45)</f>
        <v>3.7399996259999999E-2</v>
      </c>
      <c r="AQ47" s="127">
        <f>AQ22+AQ27+AQ30+AQ33+AQ38+SUM(AQ42:AQ45)</f>
        <v>0.40799999591999997</v>
      </c>
      <c r="AR47" s="153" t="str">
        <f t="shared" si="17"/>
        <v xml:space="preserve">-  </v>
      </c>
      <c r="AS47" s="590">
        <f>AS22+AS27+AS30+AS33+AS38+SUM(AS42:AS45)</f>
        <v>0.48901992077659995</v>
      </c>
      <c r="AT47" s="585">
        <f>AT22+AT27+AT30+AT33+AT38+SUM(AT42:AT45)</f>
        <v>1.20339996736</v>
      </c>
      <c r="AU47" s="126">
        <f>AU22+AU27+AU30+AU33+AU38+SUM(AU42:AU45)</f>
        <v>3.7399996259999999E-2</v>
      </c>
      <c r="AV47" s="127">
        <f>AV22+AV27+AV30+AV33+AV38+SUM(AV42:AV45)</f>
        <v>0.40799999591999997</v>
      </c>
      <c r="AW47" s="153" t="str">
        <f t="shared" si="18"/>
        <v xml:space="preserve">-  </v>
      </c>
      <c r="AX47" s="590">
        <f>AX22+AX27+AX30+AX33+AX38+SUM(AX42:AX45)</f>
        <v>0.48901992077659995</v>
      </c>
      <c r="AY47" s="594">
        <f>AY22+AY27+AY30+AY33+AY38+SUM(AY42:AY45)</f>
        <v>1.20339996736</v>
      </c>
      <c r="AZ47" s="126">
        <f>AZ22+AZ27+AZ30+AZ33+AZ38+SUM(AZ42:AZ45)</f>
        <v>3.7399996259999999E-2</v>
      </c>
      <c r="BA47" s="127">
        <f>BA22+BA27+BA30+BA33+BA38+SUM(BA42:BA45)</f>
        <v>0.40799999591999997</v>
      </c>
      <c r="BB47" s="243" t="str">
        <f t="shared" si="19"/>
        <v xml:space="preserve">-  </v>
      </c>
      <c r="BC47" s="590">
        <f>BC22+BC27+BC30+BC33+BC38+SUM(BC42:BC45)</f>
        <v>0.48901992077659995</v>
      </c>
      <c r="BD47" s="594">
        <f>BD22+BD27+BD30+BD33+BD38+SUM(BD42:BD45)</f>
        <v>1.20339996736</v>
      </c>
      <c r="BE47" s="126">
        <f>BE22+BE27+BE30+BE33+BE38+SUM(BE42:BE45)</f>
        <v>3.7399996259999999E-2</v>
      </c>
      <c r="BF47" s="127">
        <f>BF22+BF27+BF30+BF33+BF38+SUM(BF42:BF45)</f>
        <v>0.40799999591999997</v>
      </c>
      <c r="BG47" s="243" t="str">
        <f t="shared" si="20"/>
        <v xml:space="preserve">-  </v>
      </c>
      <c r="BH47" s="590">
        <f t="shared" ref="BH47:BM47" si="31">BH22+BH27+BH30+BH33+BH38+SUM(BH42:BH45)</f>
        <v>0.48901992077659995</v>
      </c>
      <c r="BI47" s="594">
        <f t="shared" si="31"/>
        <v>1.20339996736</v>
      </c>
      <c r="BJ47" s="126">
        <f>BJ22+BJ27+BJ30+BJ33+BJ38+SUM(BJ42:BJ45)</f>
        <v>3.7399996259999999E-2</v>
      </c>
      <c r="BK47" s="127">
        <f>BK22+BK27+BK30+BK33+BK38+SUM(BK42:BK45)</f>
        <v>0.40799999591999997</v>
      </c>
      <c r="BL47" s="746">
        <f t="shared" si="31"/>
        <v>0</v>
      </c>
      <c r="BM47" s="127">
        <f t="shared" si="31"/>
        <v>0</v>
      </c>
      <c r="BN47" s="314"/>
      <c r="BO47" s="314"/>
      <c r="BP47" s="314"/>
    </row>
    <row r="48" spans="1:68" x14ac:dyDescent="0.25">
      <c r="A48" s="195"/>
      <c r="B48" s="42" t="s">
        <v>51</v>
      </c>
      <c r="C48" s="38" t="s">
        <v>54</v>
      </c>
      <c r="D48" s="526" t="s">
        <v>55</v>
      </c>
      <c r="E48" s="128">
        <f>Nabídka!F43</f>
        <v>0.5</v>
      </c>
      <c r="F48" s="129">
        <f>Nabídka!H43</f>
        <v>0.5</v>
      </c>
      <c r="G48" s="128">
        <f>$E$48</f>
        <v>0.5</v>
      </c>
      <c r="H48" s="129">
        <f>$F$48</f>
        <v>0.5</v>
      </c>
      <c r="I48" s="128">
        <f>IF(I$16="Neaktivní",0,IF(ISBLANK($J$17),0,IF(AND(DAY(Postup!$H$24)=1,MONTH(Postup!$H$24)=1),E48,G48)))</f>
        <v>0</v>
      </c>
      <c r="J48" s="129">
        <f>IF(I$16="Neaktivní",0,IF(ISBLANK($J$17),0,IF(AND(DAY(Postup!$H$24)=1,MONTH(Postup!$H$24)=1),F48,H48)))</f>
        <v>0</v>
      </c>
      <c r="K48" s="978"/>
      <c r="L48" s="979"/>
      <c r="M48" s="980"/>
      <c r="N48" s="153"/>
      <c r="O48" s="128">
        <f>$E$48</f>
        <v>0.5</v>
      </c>
      <c r="P48" s="129">
        <f>$F$48</f>
        <v>0.5</v>
      </c>
      <c r="Q48" s="128">
        <f>IF(Q16="Neaktivní",0,IF(ISBLANK(R17),0,O48))</f>
        <v>0</v>
      </c>
      <c r="R48" s="129">
        <f>IF(Q16="Neaktivní",0,IF(ISBLANK(R17),0,P48))</f>
        <v>0</v>
      </c>
      <c r="S48" s="243"/>
      <c r="T48" s="128">
        <f>$E$48</f>
        <v>0.5</v>
      </c>
      <c r="U48" s="129">
        <f>$F$48</f>
        <v>0.5</v>
      </c>
      <c r="V48" s="128">
        <f>IF(V16="Neaktivní",0,IF(ISBLANK(W17),0,T48))</f>
        <v>0</v>
      </c>
      <c r="W48" s="129">
        <f>IF(V16="Neaktivní",0,IF(ISBLANK(W17),0,U48))</f>
        <v>0</v>
      </c>
      <c r="X48" s="153"/>
      <c r="Y48" s="128">
        <f>$E$48</f>
        <v>0.5</v>
      </c>
      <c r="Z48" s="129">
        <f>$F$48</f>
        <v>0.5</v>
      </c>
      <c r="AA48" s="128">
        <f>IF(AA16="Neaktivní",0,IF(ISBLANK(AB17),0,Y48))</f>
        <v>0</v>
      </c>
      <c r="AB48" s="129">
        <f>IF(AA16="Neaktivní",0,IF(ISBLANK(AB17),0,Z48))</f>
        <v>0</v>
      </c>
      <c r="AC48" s="153"/>
      <c r="AD48" s="128">
        <f>$E$48</f>
        <v>0.5</v>
      </c>
      <c r="AE48" s="129">
        <f>$F$48</f>
        <v>0.5</v>
      </c>
      <c r="AF48" s="128">
        <f>IF(AF16="Neaktivní",0,IF(ISBLANK(AG17),0,AD48))</f>
        <v>0</v>
      </c>
      <c r="AG48" s="129">
        <f>IF(AF16="Neaktivní",0,IF(ISBLANK(AG17),0,AE48))</f>
        <v>0</v>
      </c>
      <c r="AH48" s="153"/>
      <c r="AI48" s="128">
        <f>$E$48</f>
        <v>0.5</v>
      </c>
      <c r="AJ48" s="129">
        <f>$F$48</f>
        <v>0.5</v>
      </c>
      <c r="AK48" s="128">
        <f>AI48</f>
        <v>0.5</v>
      </c>
      <c r="AL48" s="129">
        <f>AJ48</f>
        <v>0.5</v>
      </c>
      <c r="AM48" s="153"/>
      <c r="AN48" s="128">
        <f>$E$48</f>
        <v>0.5</v>
      </c>
      <c r="AO48" s="129">
        <f>$F$48</f>
        <v>0.5</v>
      </c>
      <c r="AP48" s="128">
        <f>AN48</f>
        <v>0.5</v>
      </c>
      <c r="AQ48" s="129">
        <f>AO48</f>
        <v>0.5</v>
      </c>
      <c r="AR48" s="153"/>
      <c r="AS48" s="128">
        <f>$E$48</f>
        <v>0.5</v>
      </c>
      <c r="AT48" s="129">
        <f>$F$48</f>
        <v>0.5</v>
      </c>
      <c r="AU48" s="128">
        <f>AS48</f>
        <v>0.5</v>
      </c>
      <c r="AV48" s="129">
        <f>AT48</f>
        <v>0.5</v>
      </c>
      <c r="AW48" s="153"/>
      <c r="AX48" s="128">
        <f>$E$48</f>
        <v>0.5</v>
      </c>
      <c r="AY48" s="129">
        <f>$F$48</f>
        <v>0.5</v>
      </c>
      <c r="AZ48" s="128">
        <f>AX48</f>
        <v>0.5</v>
      </c>
      <c r="BA48" s="129">
        <f>AY48</f>
        <v>0.5</v>
      </c>
      <c r="BB48" s="243"/>
      <c r="BC48" s="128">
        <f>$E$48</f>
        <v>0.5</v>
      </c>
      <c r="BD48" s="129">
        <f>$F$48</f>
        <v>0.5</v>
      </c>
      <c r="BE48" s="128">
        <f>BC48</f>
        <v>0.5</v>
      </c>
      <c r="BF48" s="129">
        <f>BD48</f>
        <v>0.5</v>
      </c>
      <c r="BG48" s="243"/>
      <c r="BH48" s="128">
        <f>$E$48</f>
        <v>0.5</v>
      </c>
      <c r="BI48" s="129">
        <f>$F$48</f>
        <v>0.5</v>
      </c>
      <c r="BJ48" s="128">
        <f>BH48</f>
        <v>0.5</v>
      </c>
      <c r="BK48" s="129">
        <f>BI48</f>
        <v>0.5</v>
      </c>
      <c r="BL48" s="150">
        <f>$E$48</f>
        <v>0.5</v>
      </c>
      <c r="BM48" s="149">
        <f>$F$48</f>
        <v>0.5</v>
      </c>
      <c r="BN48" s="314"/>
      <c r="BO48" s="314"/>
      <c r="BP48" s="314"/>
    </row>
    <row r="49" spans="1:68" ht="15" customHeight="1" x14ac:dyDescent="0.25">
      <c r="A49" s="195"/>
      <c r="B49" s="42" t="s">
        <v>52</v>
      </c>
      <c r="C49" s="38" t="s">
        <v>57</v>
      </c>
      <c r="D49" s="43" t="s">
        <v>398</v>
      </c>
      <c r="E49" s="730">
        <f>Nabídka!F44</f>
        <v>3.3333330000000001E-2</v>
      </c>
      <c r="F49" s="149">
        <f>Nabídka!H44</f>
        <v>0</v>
      </c>
      <c r="G49" s="128">
        <f>IF(AND(DAY(Postup!$H$24)=1,MONTH(Postup!$H$24)=1),0,E49*Výpočty!$E$17)</f>
        <v>2.5022828547945207E-2</v>
      </c>
      <c r="H49" s="129">
        <f>IF(AND(DAY(Postup!$H$24)=1,MONTH(Postup!$H$24)=1),0,F49*Výpočty!$E$17)</f>
        <v>0</v>
      </c>
      <c r="I49" s="491">
        <v>0</v>
      </c>
      <c r="J49" s="149">
        <v>0</v>
      </c>
      <c r="K49" s="933"/>
      <c r="L49" s="933"/>
      <c r="M49" s="934"/>
      <c r="N49" s="153" t="str">
        <f t="shared" si="11"/>
        <v xml:space="preserve">-  </v>
      </c>
      <c r="O49" s="591">
        <f>Nabídka!F44</f>
        <v>3.3333330000000001E-2</v>
      </c>
      <c r="P49" s="593">
        <v>0</v>
      </c>
      <c r="Q49" s="491">
        <v>0</v>
      </c>
      <c r="R49" s="149">
        <v>0</v>
      </c>
      <c r="S49" s="243" t="str">
        <f t="shared" si="12"/>
        <v xml:space="preserve">-  </v>
      </c>
      <c r="T49" s="591">
        <f>Nabídka!F44</f>
        <v>3.3333330000000001E-2</v>
      </c>
      <c r="U49" s="593">
        <v>0</v>
      </c>
      <c r="V49" s="491">
        <v>0</v>
      </c>
      <c r="W49" s="149">
        <v>0</v>
      </c>
      <c r="X49" s="153" t="str">
        <f t="shared" si="13"/>
        <v xml:space="preserve">-  </v>
      </c>
      <c r="Y49" s="591">
        <f>Nabídka!F44</f>
        <v>3.3333330000000001E-2</v>
      </c>
      <c r="Z49" s="593">
        <v>0</v>
      </c>
      <c r="AA49" s="491">
        <v>0</v>
      </c>
      <c r="AB49" s="149">
        <v>0</v>
      </c>
      <c r="AC49" s="153" t="str">
        <f t="shared" si="14"/>
        <v xml:space="preserve">-  </v>
      </c>
      <c r="AD49" s="591">
        <f>Nabídka!F44</f>
        <v>3.3333330000000001E-2</v>
      </c>
      <c r="AE49" s="593">
        <v>0</v>
      </c>
      <c r="AF49" s="491">
        <v>0</v>
      </c>
      <c r="AG49" s="149">
        <v>0</v>
      </c>
      <c r="AH49" s="153" t="str">
        <f t="shared" si="15"/>
        <v xml:space="preserve">-  </v>
      </c>
      <c r="AI49" s="591">
        <f>Nabídka!F44</f>
        <v>3.3333330000000001E-2</v>
      </c>
      <c r="AJ49" s="593">
        <v>0</v>
      </c>
      <c r="AK49" s="491">
        <v>0</v>
      </c>
      <c r="AL49" s="149">
        <v>0</v>
      </c>
      <c r="AM49" s="153" t="str">
        <f t="shared" si="16"/>
        <v xml:space="preserve">-  </v>
      </c>
      <c r="AN49" s="591">
        <f>Nabídka!F44</f>
        <v>3.3333330000000001E-2</v>
      </c>
      <c r="AO49" s="593">
        <v>0</v>
      </c>
      <c r="AP49" s="491">
        <v>0</v>
      </c>
      <c r="AQ49" s="149">
        <v>0</v>
      </c>
      <c r="AR49" s="153" t="str">
        <f t="shared" si="17"/>
        <v xml:space="preserve">-  </v>
      </c>
      <c r="AS49" s="591">
        <f>Nabídka!F44</f>
        <v>3.3333330000000001E-2</v>
      </c>
      <c r="AT49" s="589">
        <v>0</v>
      </c>
      <c r="AU49" s="491">
        <v>0</v>
      </c>
      <c r="AV49" s="149">
        <v>0</v>
      </c>
      <c r="AW49" s="153" t="str">
        <f t="shared" si="18"/>
        <v xml:space="preserve">-  </v>
      </c>
      <c r="AX49" s="591">
        <f>Nabídka!F44</f>
        <v>3.3333330000000001E-2</v>
      </c>
      <c r="AY49" s="593">
        <v>0</v>
      </c>
      <c r="AZ49" s="491">
        <v>0</v>
      </c>
      <c r="BA49" s="149">
        <v>0</v>
      </c>
      <c r="BB49" s="243" t="str">
        <f t="shared" si="19"/>
        <v xml:space="preserve">-  </v>
      </c>
      <c r="BC49" s="591">
        <f>Nabídka!F44</f>
        <v>3.3333330000000001E-2</v>
      </c>
      <c r="BD49" s="593">
        <v>0</v>
      </c>
      <c r="BE49" s="491">
        <v>0</v>
      </c>
      <c r="BF49" s="149">
        <v>0</v>
      </c>
      <c r="BG49" s="243" t="str">
        <f t="shared" si="20"/>
        <v xml:space="preserve">-  </v>
      </c>
      <c r="BH49" s="591">
        <f>Nabídka!F44</f>
        <v>3.3333330000000001E-2</v>
      </c>
      <c r="BI49" s="593">
        <v>0</v>
      </c>
      <c r="BJ49" s="491">
        <v>0</v>
      </c>
      <c r="BK49" s="149">
        <v>0</v>
      </c>
      <c r="BL49" s="745">
        <f>IF(AND(DAY(Postup!$H$25)=31,MONTH(Postup!$H$25)=12),0,INDEX($E49:$BP49,MATCH($BL$57,$E$57:$BP$57,0))*Výpočty!$E$23)</f>
        <v>0</v>
      </c>
      <c r="BM49" s="129">
        <f>IF(AND(DAY(Postup!$H$25)=31,MONTH(Postup!$H$25)=12),0,INDEX($E49:$BP49,MATCH($BM$57,$E$57:$BP$57,0))*Výpočty!$E$23)</f>
        <v>0</v>
      </c>
      <c r="BN49" s="147"/>
      <c r="BO49" s="147"/>
      <c r="BP49" s="147"/>
    </row>
    <row r="50" spans="1:68" x14ac:dyDescent="0.25">
      <c r="A50" s="195"/>
      <c r="B50" s="42" t="s">
        <v>53</v>
      </c>
      <c r="C50" s="38" t="s">
        <v>60</v>
      </c>
      <c r="D50" s="43" t="s">
        <v>203</v>
      </c>
      <c r="E50" s="730">
        <f>Nabídka!F45</f>
        <v>2.9333330000000001E-2</v>
      </c>
      <c r="F50" s="149">
        <f>Nabídka!H45</f>
        <v>0</v>
      </c>
      <c r="G50" s="128">
        <f>IF(AND(DAY(Postup!$H$24)=1,MONTH(Postup!$H$24)=1),0,E50*Výpočty!$E$17)</f>
        <v>2.2020088821917808E-2</v>
      </c>
      <c r="H50" s="129">
        <f>IF(AND(DAY(Postup!$H$24)=1,MONTH(Postup!$H$24)=1),0,F50*Výpočty!$E$17)</f>
        <v>0</v>
      </c>
      <c r="I50" s="491">
        <v>0</v>
      </c>
      <c r="J50" s="149">
        <v>0</v>
      </c>
      <c r="K50" s="933"/>
      <c r="L50" s="933"/>
      <c r="M50" s="934"/>
      <c r="N50" s="153" t="str">
        <f t="shared" si="11"/>
        <v xml:space="preserve">-  </v>
      </c>
      <c r="O50" s="591">
        <f>Nabídka!F45</f>
        <v>2.9333330000000001E-2</v>
      </c>
      <c r="P50" s="593">
        <v>0</v>
      </c>
      <c r="Q50" s="491">
        <v>0</v>
      </c>
      <c r="R50" s="149">
        <v>0</v>
      </c>
      <c r="S50" s="243" t="str">
        <f t="shared" si="12"/>
        <v xml:space="preserve">-  </v>
      </c>
      <c r="T50" s="591">
        <f>Nabídka!F45</f>
        <v>2.9333330000000001E-2</v>
      </c>
      <c r="U50" s="593">
        <v>0</v>
      </c>
      <c r="V50" s="491">
        <v>0</v>
      </c>
      <c r="W50" s="149">
        <v>0</v>
      </c>
      <c r="X50" s="153" t="str">
        <f t="shared" si="13"/>
        <v xml:space="preserve">-  </v>
      </c>
      <c r="Y50" s="591">
        <f>Nabídka!F45</f>
        <v>2.9333330000000001E-2</v>
      </c>
      <c r="Z50" s="593">
        <v>0</v>
      </c>
      <c r="AA50" s="491">
        <v>0</v>
      </c>
      <c r="AB50" s="149">
        <v>0</v>
      </c>
      <c r="AC50" s="153" t="str">
        <f t="shared" si="14"/>
        <v xml:space="preserve">-  </v>
      </c>
      <c r="AD50" s="591">
        <f>Nabídka!F45</f>
        <v>2.9333330000000001E-2</v>
      </c>
      <c r="AE50" s="593">
        <v>0</v>
      </c>
      <c r="AF50" s="491">
        <v>0</v>
      </c>
      <c r="AG50" s="149">
        <v>0</v>
      </c>
      <c r="AH50" s="153" t="str">
        <f t="shared" si="15"/>
        <v xml:space="preserve">-  </v>
      </c>
      <c r="AI50" s="591">
        <f>Nabídka!F45</f>
        <v>2.9333330000000001E-2</v>
      </c>
      <c r="AJ50" s="593">
        <v>0</v>
      </c>
      <c r="AK50" s="491">
        <v>0</v>
      </c>
      <c r="AL50" s="149">
        <v>0</v>
      </c>
      <c r="AM50" s="153" t="str">
        <f t="shared" si="16"/>
        <v xml:space="preserve">-  </v>
      </c>
      <c r="AN50" s="591">
        <f>Nabídka!F45</f>
        <v>2.9333330000000001E-2</v>
      </c>
      <c r="AO50" s="593">
        <v>0</v>
      </c>
      <c r="AP50" s="491">
        <v>0</v>
      </c>
      <c r="AQ50" s="149">
        <v>0</v>
      </c>
      <c r="AR50" s="153" t="str">
        <f t="shared" si="17"/>
        <v xml:space="preserve">-  </v>
      </c>
      <c r="AS50" s="591">
        <f>Nabídka!F45</f>
        <v>2.9333330000000001E-2</v>
      </c>
      <c r="AT50" s="589">
        <v>0</v>
      </c>
      <c r="AU50" s="491">
        <v>0</v>
      </c>
      <c r="AV50" s="149">
        <v>0</v>
      </c>
      <c r="AW50" s="153" t="str">
        <f t="shared" si="18"/>
        <v xml:space="preserve">-  </v>
      </c>
      <c r="AX50" s="591">
        <f>Nabídka!F45</f>
        <v>2.9333330000000001E-2</v>
      </c>
      <c r="AY50" s="593">
        <v>0</v>
      </c>
      <c r="AZ50" s="491">
        <v>0</v>
      </c>
      <c r="BA50" s="149">
        <v>0</v>
      </c>
      <c r="BB50" s="243" t="str">
        <f t="shared" si="19"/>
        <v xml:space="preserve">-  </v>
      </c>
      <c r="BC50" s="591">
        <f>Nabídka!F45</f>
        <v>2.9333330000000001E-2</v>
      </c>
      <c r="BD50" s="593">
        <v>0</v>
      </c>
      <c r="BE50" s="491">
        <v>0</v>
      </c>
      <c r="BF50" s="149">
        <v>0</v>
      </c>
      <c r="BG50" s="243" t="str">
        <f t="shared" si="20"/>
        <v xml:space="preserve">-  </v>
      </c>
      <c r="BH50" s="591">
        <f>Nabídka!F45</f>
        <v>2.9333330000000001E-2</v>
      </c>
      <c r="BI50" s="593">
        <v>0</v>
      </c>
      <c r="BJ50" s="491">
        <v>0</v>
      </c>
      <c r="BK50" s="149">
        <v>0</v>
      </c>
      <c r="BL50" s="745">
        <f>IF(AND(DAY(Postup!$H$25)=31,MONTH(Postup!$H$25)=12),0,INDEX($E50:$BP50,MATCH($BL$57,$E$57:$BP$57,0))*Výpočty!$E$23)</f>
        <v>0</v>
      </c>
      <c r="BM50" s="129">
        <f>IF(AND(DAY(Postup!$H$25)=31,MONTH(Postup!$H$25)=12),0,INDEX($E50:$BP50,MATCH($BM$57,$E$57:$BP$57,0))*Výpočty!$E$23)</f>
        <v>0</v>
      </c>
      <c r="BN50" s="147"/>
      <c r="BO50" s="147"/>
      <c r="BP50" s="147"/>
    </row>
    <row r="51" spans="1:68" x14ac:dyDescent="0.25">
      <c r="A51" s="195"/>
      <c r="B51" s="42" t="s">
        <v>56</v>
      </c>
      <c r="C51" s="38" t="s">
        <v>62</v>
      </c>
      <c r="D51" s="43" t="s">
        <v>203</v>
      </c>
      <c r="E51" s="150">
        <f>Nabídka!F46</f>
        <v>0</v>
      </c>
      <c r="F51" s="731">
        <f>Nabídka!H46</f>
        <v>3.5999999999999997E-2</v>
      </c>
      <c r="G51" s="128">
        <f>IF(AND(DAY(Postup!$H$24)=1,MONTH(Postup!$H$24)=1),0,E51*Výpočty!$E$17)</f>
        <v>0</v>
      </c>
      <c r="H51" s="129">
        <f>IF(AND(DAY(Postup!$H$24)=1,MONTH(Postup!$H$24)=1),0,F51*Výpočty!$E$17)</f>
        <v>2.7024657534246575E-2</v>
      </c>
      <c r="I51" s="150">
        <v>0</v>
      </c>
      <c r="J51" s="492">
        <v>0</v>
      </c>
      <c r="K51" s="933"/>
      <c r="L51" s="933"/>
      <c r="M51" s="934"/>
      <c r="N51" s="153" t="str">
        <f t="shared" si="11"/>
        <v xml:space="preserve">-  </v>
      </c>
      <c r="O51" s="592">
        <v>0</v>
      </c>
      <c r="P51" s="722">
        <f>Nabídka!H46</f>
        <v>3.5999999999999997E-2</v>
      </c>
      <c r="Q51" s="150">
        <v>0</v>
      </c>
      <c r="R51" s="492">
        <v>0</v>
      </c>
      <c r="S51" s="243" t="str">
        <f t="shared" si="12"/>
        <v xml:space="preserve">-  </v>
      </c>
      <c r="T51" s="592">
        <v>0</v>
      </c>
      <c r="U51" s="722">
        <f>Nabídka!H46</f>
        <v>3.5999999999999997E-2</v>
      </c>
      <c r="V51" s="150">
        <v>0</v>
      </c>
      <c r="W51" s="492">
        <v>0</v>
      </c>
      <c r="X51" s="153" t="str">
        <f t="shared" si="13"/>
        <v xml:space="preserve">-  </v>
      </c>
      <c r="Y51" s="592">
        <v>0</v>
      </c>
      <c r="Z51" s="722">
        <f>Nabídka!H46</f>
        <v>3.5999999999999997E-2</v>
      </c>
      <c r="AA51" s="150">
        <v>0</v>
      </c>
      <c r="AB51" s="492">
        <v>0</v>
      </c>
      <c r="AC51" s="153" t="str">
        <f t="shared" si="14"/>
        <v xml:space="preserve">-  </v>
      </c>
      <c r="AD51" s="592">
        <v>0</v>
      </c>
      <c r="AE51" s="722">
        <f>Nabídka!H46</f>
        <v>3.5999999999999997E-2</v>
      </c>
      <c r="AF51" s="150">
        <v>0</v>
      </c>
      <c r="AG51" s="492">
        <v>0</v>
      </c>
      <c r="AH51" s="153" t="str">
        <f t="shared" si="15"/>
        <v xml:space="preserve">-  </v>
      </c>
      <c r="AI51" s="592">
        <v>0</v>
      </c>
      <c r="AJ51" s="722">
        <f>Nabídka!H46</f>
        <v>3.5999999999999997E-2</v>
      </c>
      <c r="AK51" s="150">
        <v>0</v>
      </c>
      <c r="AL51" s="492">
        <v>0</v>
      </c>
      <c r="AM51" s="153" t="str">
        <f t="shared" si="16"/>
        <v xml:space="preserve">-  </v>
      </c>
      <c r="AN51" s="592">
        <v>0</v>
      </c>
      <c r="AO51" s="587">
        <f>Nabídka!H46</f>
        <v>3.5999999999999997E-2</v>
      </c>
      <c r="AP51" s="150">
        <v>0</v>
      </c>
      <c r="AQ51" s="492">
        <v>0</v>
      </c>
      <c r="AR51" s="153" t="str">
        <f t="shared" si="17"/>
        <v xml:space="preserve">-  </v>
      </c>
      <c r="AS51" s="592">
        <v>0</v>
      </c>
      <c r="AT51" s="587">
        <f>Nabídka!H46</f>
        <v>3.5999999999999997E-2</v>
      </c>
      <c r="AU51" s="150">
        <v>0</v>
      </c>
      <c r="AV51" s="492">
        <v>0</v>
      </c>
      <c r="AW51" s="153" t="str">
        <f t="shared" si="18"/>
        <v xml:space="preserve">-  </v>
      </c>
      <c r="AX51" s="592">
        <v>0</v>
      </c>
      <c r="AY51" s="599">
        <f>Nabídka!H46</f>
        <v>3.5999999999999997E-2</v>
      </c>
      <c r="AZ51" s="150">
        <v>0</v>
      </c>
      <c r="BA51" s="492">
        <v>0</v>
      </c>
      <c r="BB51" s="243" t="str">
        <f t="shared" si="19"/>
        <v xml:space="preserve">-  </v>
      </c>
      <c r="BC51" s="592">
        <v>0</v>
      </c>
      <c r="BD51" s="599">
        <f>Nabídka!H46</f>
        <v>3.5999999999999997E-2</v>
      </c>
      <c r="BE51" s="150">
        <v>0</v>
      </c>
      <c r="BF51" s="492">
        <v>0</v>
      </c>
      <c r="BG51" s="243" t="str">
        <f t="shared" si="20"/>
        <v xml:space="preserve">-  </v>
      </c>
      <c r="BH51" s="592">
        <v>0</v>
      </c>
      <c r="BI51" s="599">
        <f>Nabídka!H46</f>
        <v>3.5999999999999997E-2</v>
      </c>
      <c r="BJ51" s="150">
        <v>0</v>
      </c>
      <c r="BK51" s="492">
        <v>0</v>
      </c>
      <c r="BL51" s="745">
        <f>IF(AND(DAY(Postup!$H$25)=31,MONTH(Postup!$H$25)=12),0,INDEX($E51:$BP51,MATCH($BL$57,$E$57:$BP$57,0))*Výpočty!$E$23)</f>
        <v>0</v>
      </c>
      <c r="BM51" s="129">
        <f>IF(AND(DAY(Postup!$H$25)=31,MONTH(Postup!$H$25)=12),0,INDEX($E51:$BP51,MATCH($BM$57,$E$57:$BP$57,0))*Výpočty!$E$23)</f>
        <v>0</v>
      </c>
      <c r="BN51" s="147"/>
      <c r="BO51" s="147"/>
      <c r="BP51" s="147"/>
    </row>
    <row r="52" spans="1:68" x14ac:dyDescent="0.25">
      <c r="A52" s="195"/>
      <c r="B52" s="42" t="s">
        <v>59</v>
      </c>
      <c r="C52" s="38" t="s">
        <v>60</v>
      </c>
      <c r="D52" s="43" t="s">
        <v>203</v>
      </c>
      <c r="E52" s="150">
        <f>Nabídka!F47</f>
        <v>0</v>
      </c>
      <c r="F52" s="731">
        <f>Nabídka!H47</f>
        <v>2.5999999999999999E-2</v>
      </c>
      <c r="G52" s="128">
        <f>IF(AND(DAY(Postup!$H$24)=1,MONTH(Postup!$H$24)=1),0,E52*Výpočty!$E$17)</f>
        <v>0</v>
      </c>
      <c r="H52" s="129">
        <f>IF(AND(DAY(Postup!$H$24)=1,MONTH(Postup!$H$24)=1),0,F52*Výpočty!$E$17)</f>
        <v>1.9517808219178083E-2</v>
      </c>
      <c r="I52" s="150">
        <v>0</v>
      </c>
      <c r="J52" s="492">
        <v>0</v>
      </c>
      <c r="K52" s="933"/>
      <c r="L52" s="933"/>
      <c r="M52" s="934"/>
      <c r="N52" s="153" t="str">
        <f t="shared" si="11"/>
        <v xml:space="preserve">-  </v>
      </c>
      <c r="O52" s="592">
        <v>0</v>
      </c>
      <c r="P52" s="722">
        <f>Nabídka!H47</f>
        <v>2.5999999999999999E-2</v>
      </c>
      <c r="Q52" s="150">
        <v>0</v>
      </c>
      <c r="R52" s="492">
        <v>0</v>
      </c>
      <c r="S52" s="243" t="str">
        <f t="shared" si="12"/>
        <v xml:space="preserve">-  </v>
      </c>
      <c r="T52" s="592">
        <v>0</v>
      </c>
      <c r="U52" s="722">
        <f>Nabídka!H47</f>
        <v>2.5999999999999999E-2</v>
      </c>
      <c r="V52" s="150">
        <v>0</v>
      </c>
      <c r="W52" s="492">
        <v>0</v>
      </c>
      <c r="X52" s="153" t="str">
        <f t="shared" si="13"/>
        <v xml:space="preserve">-  </v>
      </c>
      <c r="Y52" s="592">
        <v>0</v>
      </c>
      <c r="Z52" s="722">
        <f>Nabídka!H47</f>
        <v>2.5999999999999999E-2</v>
      </c>
      <c r="AA52" s="150">
        <v>0</v>
      </c>
      <c r="AB52" s="492">
        <v>0</v>
      </c>
      <c r="AC52" s="153" t="str">
        <f t="shared" si="14"/>
        <v xml:space="preserve">-  </v>
      </c>
      <c r="AD52" s="592">
        <v>0</v>
      </c>
      <c r="AE52" s="722">
        <f>Nabídka!H47</f>
        <v>2.5999999999999999E-2</v>
      </c>
      <c r="AF52" s="150">
        <v>0</v>
      </c>
      <c r="AG52" s="492">
        <v>0</v>
      </c>
      <c r="AH52" s="153" t="str">
        <f t="shared" si="15"/>
        <v xml:space="preserve">-  </v>
      </c>
      <c r="AI52" s="592">
        <v>0</v>
      </c>
      <c r="AJ52" s="722">
        <f>Nabídka!H47</f>
        <v>2.5999999999999999E-2</v>
      </c>
      <c r="AK52" s="150">
        <v>0</v>
      </c>
      <c r="AL52" s="492">
        <v>0</v>
      </c>
      <c r="AM52" s="153" t="str">
        <f t="shared" si="16"/>
        <v xml:space="preserve">-  </v>
      </c>
      <c r="AN52" s="592">
        <v>0</v>
      </c>
      <c r="AO52" s="587">
        <f>Nabídka!H47</f>
        <v>2.5999999999999999E-2</v>
      </c>
      <c r="AP52" s="150">
        <v>0</v>
      </c>
      <c r="AQ52" s="492">
        <v>0</v>
      </c>
      <c r="AR52" s="153" t="str">
        <f t="shared" si="17"/>
        <v xml:space="preserve">-  </v>
      </c>
      <c r="AS52" s="592">
        <v>0</v>
      </c>
      <c r="AT52" s="587">
        <f>Nabídka!H47</f>
        <v>2.5999999999999999E-2</v>
      </c>
      <c r="AU52" s="150">
        <v>0</v>
      </c>
      <c r="AV52" s="492">
        <v>0</v>
      </c>
      <c r="AW52" s="153" t="str">
        <f t="shared" si="18"/>
        <v xml:space="preserve">-  </v>
      </c>
      <c r="AX52" s="592">
        <v>0</v>
      </c>
      <c r="AY52" s="599">
        <f>Nabídka!H47</f>
        <v>2.5999999999999999E-2</v>
      </c>
      <c r="AZ52" s="150">
        <v>0</v>
      </c>
      <c r="BA52" s="492">
        <v>0</v>
      </c>
      <c r="BB52" s="243" t="str">
        <f t="shared" si="19"/>
        <v xml:space="preserve">-  </v>
      </c>
      <c r="BC52" s="592">
        <v>0</v>
      </c>
      <c r="BD52" s="599">
        <f>Nabídka!H47</f>
        <v>2.5999999999999999E-2</v>
      </c>
      <c r="BE52" s="150">
        <v>0</v>
      </c>
      <c r="BF52" s="492">
        <v>0</v>
      </c>
      <c r="BG52" s="243" t="str">
        <f t="shared" si="20"/>
        <v xml:space="preserve">-  </v>
      </c>
      <c r="BH52" s="592">
        <v>0</v>
      </c>
      <c r="BI52" s="599">
        <f>Nabídka!H47</f>
        <v>2.5999999999999999E-2</v>
      </c>
      <c r="BJ52" s="150">
        <v>0</v>
      </c>
      <c r="BK52" s="492">
        <v>0</v>
      </c>
      <c r="BL52" s="745">
        <f>IF(AND(DAY(Postup!$H$25)=31,MONTH(Postup!$H$25)=12),0,INDEX($E52:$BP52,MATCH($BL$57,$E$57:$BP$57,0))*Výpočty!$E$23)</f>
        <v>0</v>
      </c>
      <c r="BM52" s="129">
        <f>IF(AND(DAY(Postup!$H$25)=31,MONTH(Postup!$H$25)=12),0,INDEX($E52:$BP52,MATCH($BM$57,$E$57:$BP$57,0))*Výpočty!$E$23)</f>
        <v>0</v>
      </c>
      <c r="BN52" s="147"/>
      <c r="BO52" s="147"/>
      <c r="BP52" s="147"/>
    </row>
    <row r="53" spans="1:68" x14ac:dyDescent="0.25">
      <c r="A53" s="195"/>
      <c r="B53" s="42" t="s">
        <v>61</v>
      </c>
      <c r="C53" s="38" t="s">
        <v>65</v>
      </c>
      <c r="D53" s="43" t="s">
        <v>203</v>
      </c>
      <c r="E53" s="150">
        <f>Nabídka!F48</f>
        <v>0</v>
      </c>
      <c r="F53" s="731">
        <f>Nabídka!H48</f>
        <v>8.0000000000000002E-3</v>
      </c>
      <c r="G53" s="128">
        <f>IF(AND(DAY(Postup!$H$24)=1,MONTH(Postup!$H$24)=1),0,E53*Výpočty!$E$17)</f>
        <v>0</v>
      </c>
      <c r="H53" s="129">
        <f>IF(AND(DAY(Postup!$H$24)=1,MONTH(Postup!$H$24)=1),0,F53*Výpočty!$E$17)</f>
        <v>6.0054794520547948E-3</v>
      </c>
      <c r="I53" s="150">
        <v>0</v>
      </c>
      <c r="J53" s="492">
        <v>0</v>
      </c>
      <c r="K53" s="933"/>
      <c r="L53" s="933"/>
      <c r="M53" s="934"/>
      <c r="N53" s="153" t="str">
        <f t="shared" si="11"/>
        <v xml:space="preserve">-  </v>
      </c>
      <c r="O53" s="592">
        <v>0</v>
      </c>
      <c r="P53" s="722">
        <f>Nabídka!H48</f>
        <v>8.0000000000000002E-3</v>
      </c>
      <c r="Q53" s="150">
        <v>0</v>
      </c>
      <c r="R53" s="492">
        <v>0</v>
      </c>
      <c r="S53" s="243" t="str">
        <f t="shared" si="12"/>
        <v xml:space="preserve">-  </v>
      </c>
      <c r="T53" s="592">
        <v>0</v>
      </c>
      <c r="U53" s="722">
        <f>Nabídka!H48</f>
        <v>8.0000000000000002E-3</v>
      </c>
      <c r="V53" s="150">
        <v>0</v>
      </c>
      <c r="W53" s="492">
        <v>0</v>
      </c>
      <c r="X53" s="153" t="str">
        <f t="shared" si="13"/>
        <v xml:space="preserve">-  </v>
      </c>
      <c r="Y53" s="592">
        <v>0</v>
      </c>
      <c r="Z53" s="722">
        <f>Nabídka!H48</f>
        <v>8.0000000000000002E-3</v>
      </c>
      <c r="AA53" s="150">
        <v>0</v>
      </c>
      <c r="AB53" s="492">
        <v>0</v>
      </c>
      <c r="AC53" s="153" t="str">
        <f t="shared" si="14"/>
        <v xml:space="preserve">-  </v>
      </c>
      <c r="AD53" s="592">
        <v>0</v>
      </c>
      <c r="AE53" s="722">
        <f>Nabídka!H48</f>
        <v>8.0000000000000002E-3</v>
      </c>
      <c r="AF53" s="150">
        <v>0</v>
      </c>
      <c r="AG53" s="492">
        <v>0</v>
      </c>
      <c r="AH53" s="153" t="str">
        <f t="shared" si="15"/>
        <v xml:space="preserve">-  </v>
      </c>
      <c r="AI53" s="592">
        <v>0</v>
      </c>
      <c r="AJ53" s="722">
        <f>Nabídka!H48</f>
        <v>8.0000000000000002E-3</v>
      </c>
      <c r="AK53" s="150">
        <v>0</v>
      </c>
      <c r="AL53" s="492">
        <v>0</v>
      </c>
      <c r="AM53" s="153" t="str">
        <f t="shared" si="16"/>
        <v xml:space="preserve">-  </v>
      </c>
      <c r="AN53" s="592">
        <v>0</v>
      </c>
      <c r="AO53" s="587">
        <f>Nabídka!H48</f>
        <v>8.0000000000000002E-3</v>
      </c>
      <c r="AP53" s="150">
        <v>0</v>
      </c>
      <c r="AQ53" s="492">
        <v>0</v>
      </c>
      <c r="AR53" s="153" t="str">
        <f t="shared" si="17"/>
        <v xml:space="preserve">-  </v>
      </c>
      <c r="AS53" s="592">
        <v>0</v>
      </c>
      <c r="AT53" s="587">
        <f>Nabídka!H48</f>
        <v>8.0000000000000002E-3</v>
      </c>
      <c r="AU53" s="150">
        <v>0</v>
      </c>
      <c r="AV53" s="492">
        <v>0</v>
      </c>
      <c r="AW53" s="153" t="str">
        <f t="shared" si="18"/>
        <v xml:space="preserve">-  </v>
      </c>
      <c r="AX53" s="592">
        <v>0</v>
      </c>
      <c r="AY53" s="599">
        <f>Nabídka!H48</f>
        <v>8.0000000000000002E-3</v>
      </c>
      <c r="AZ53" s="150">
        <v>0</v>
      </c>
      <c r="BA53" s="492">
        <v>0</v>
      </c>
      <c r="BB53" s="243" t="str">
        <f t="shared" si="19"/>
        <v xml:space="preserve">-  </v>
      </c>
      <c r="BC53" s="592">
        <v>0</v>
      </c>
      <c r="BD53" s="599">
        <f>Nabídka!H48</f>
        <v>8.0000000000000002E-3</v>
      </c>
      <c r="BE53" s="150">
        <v>0</v>
      </c>
      <c r="BF53" s="492">
        <v>0</v>
      </c>
      <c r="BG53" s="243" t="str">
        <f t="shared" si="20"/>
        <v xml:space="preserve">-  </v>
      </c>
      <c r="BH53" s="592">
        <v>0</v>
      </c>
      <c r="BI53" s="599">
        <f>Nabídka!H48</f>
        <v>8.0000000000000002E-3</v>
      </c>
      <c r="BJ53" s="150">
        <v>0</v>
      </c>
      <c r="BK53" s="492">
        <v>0</v>
      </c>
      <c r="BL53" s="745">
        <f>IF(AND(DAY(Postup!$H$25)=31,MONTH(Postup!$H$25)=12),0,INDEX($E53:$BP53,MATCH($BL$57,$E$57:$BP$57,0))*Výpočty!$E$23)</f>
        <v>0</v>
      </c>
      <c r="BM53" s="129">
        <f>IF(AND(DAY(Postup!$H$25)=31,MONTH(Postup!$H$25)=12),0,INDEX($E53:$BP53,MATCH($BM$57,$E$57:$BP$57,0))*Výpočty!$E$23)</f>
        <v>0</v>
      </c>
      <c r="BN53" s="147"/>
      <c r="BO53" s="147"/>
      <c r="BP53" s="147"/>
    </row>
    <row r="54" spans="1:68" x14ac:dyDescent="0.25">
      <c r="A54" s="195"/>
      <c r="B54" s="42" t="s">
        <v>63</v>
      </c>
      <c r="C54" s="38" t="s">
        <v>67</v>
      </c>
      <c r="D54" s="43" t="s">
        <v>203</v>
      </c>
      <c r="E54" s="150">
        <f>Nabídka!F49</f>
        <v>0</v>
      </c>
      <c r="F54" s="731">
        <f>Nabídka!H49</f>
        <v>0.1</v>
      </c>
      <c r="G54" s="128">
        <f>IF(AND(DAY(Postup!$H$24)=1,MONTH(Postup!$H$24)=1),0,E54*Výpočty!$E$17)</f>
        <v>0</v>
      </c>
      <c r="H54" s="129">
        <f>IF(AND(DAY(Postup!$H$24)=1,MONTH(Postup!$H$24)=1),0,F54*Výpočty!$E$17)</f>
        <v>7.5068493150684937E-2</v>
      </c>
      <c r="I54" s="150">
        <v>0</v>
      </c>
      <c r="J54" s="492">
        <v>0</v>
      </c>
      <c r="K54" s="933"/>
      <c r="L54" s="933"/>
      <c r="M54" s="934"/>
      <c r="N54" s="153" t="str">
        <f t="shared" si="11"/>
        <v xml:space="preserve">-  </v>
      </c>
      <c r="O54" s="592">
        <v>0</v>
      </c>
      <c r="P54" s="722">
        <f>Nabídka!H49</f>
        <v>0.1</v>
      </c>
      <c r="Q54" s="150">
        <v>0</v>
      </c>
      <c r="R54" s="492">
        <v>0</v>
      </c>
      <c r="S54" s="243" t="str">
        <f t="shared" si="12"/>
        <v xml:space="preserve">-  </v>
      </c>
      <c r="T54" s="592">
        <v>0</v>
      </c>
      <c r="U54" s="722">
        <f>Nabídka!H49</f>
        <v>0.1</v>
      </c>
      <c r="V54" s="150">
        <v>0</v>
      </c>
      <c r="W54" s="492">
        <v>0</v>
      </c>
      <c r="X54" s="153" t="str">
        <f t="shared" si="13"/>
        <v xml:space="preserve">-  </v>
      </c>
      <c r="Y54" s="592">
        <v>0</v>
      </c>
      <c r="Z54" s="722">
        <f>Nabídka!H49</f>
        <v>0.1</v>
      </c>
      <c r="AA54" s="150">
        <v>0</v>
      </c>
      <c r="AB54" s="492">
        <v>0</v>
      </c>
      <c r="AC54" s="153" t="str">
        <f t="shared" si="14"/>
        <v xml:space="preserve">-  </v>
      </c>
      <c r="AD54" s="592">
        <v>0</v>
      </c>
      <c r="AE54" s="722">
        <f>Nabídka!H49</f>
        <v>0.1</v>
      </c>
      <c r="AF54" s="150">
        <v>0</v>
      </c>
      <c r="AG54" s="492">
        <v>0</v>
      </c>
      <c r="AH54" s="153" t="str">
        <f t="shared" si="15"/>
        <v xml:space="preserve">-  </v>
      </c>
      <c r="AI54" s="592">
        <v>0</v>
      </c>
      <c r="AJ54" s="722">
        <f>Nabídka!H49</f>
        <v>0.1</v>
      </c>
      <c r="AK54" s="150">
        <v>0</v>
      </c>
      <c r="AL54" s="492">
        <v>0</v>
      </c>
      <c r="AM54" s="153" t="str">
        <f t="shared" si="16"/>
        <v xml:space="preserve">-  </v>
      </c>
      <c r="AN54" s="592">
        <v>0</v>
      </c>
      <c r="AO54" s="587">
        <f>Nabídka!H49</f>
        <v>0.1</v>
      </c>
      <c r="AP54" s="150">
        <v>0</v>
      </c>
      <c r="AQ54" s="492">
        <v>0</v>
      </c>
      <c r="AR54" s="153" t="str">
        <f t="shared" si="17"/>
        <v xml:space="preserve">-  </v>
      </c>
      <c r="AS54" s="592">
        <v>0</v>
      </c>
      <c r="AT54" s="587">
        <f>Nabídka!H49</f>
        <v>0.1</v>
      </c>
      <c r="AU54" s="150">
        <v>0</v>
      </c>
      <c r="AV54" s="492">
        <v>0</v>
      </c>
      <c r="AW54" s="153" t="str">
        <f t="shared" si="18"/>
        <v xml:space="preserve">-  </v>
      </c>
      <c r="AX54" s="592">
        <v>0</v>
      </c>
      <c r="AY54" s="599">
        <f>Nabídka!H49</f>
        <v>0.1</v>
      </c>
      <c r="AZ54" s="150">
        <v>0</v>
      </c>
      <c r="BA54" s="492">
        <v>0</v>
      </c>
      <c r="BB54" s="243" t="str">
        <f t="shared" si="19"/>
        <v xml:space="preserve">-  </v>
      </c>
      <c r="BC54" s="592">
        <v>0</v>
      </c>
      <c r="BD54" s="599">
        <f>Nabídka!H49</f>
        <v>0.1</v>
      </c>
      <c r="BE54" s="150">
        <v>0</v>
      </c>
      <c r="BF54" s="492">
        <v>0</v>
      </c>
      <c r="BG54" s="243" t="str">
        <f t="shared" si="20"/>
        <v xml:space="preserve">-  </v>
      </c>
      <c r="BH54" s="592">
        <v>0</v>
      </c>
      <c r="BI54" s="599">
        <f>Nabídka!H49</f>
        <v>0.1</v>
      </c>
      <c r="BJ54" s="150">
        <v>0</v>
      </c>
      <c r="BK54" s="492">
        <v>0</v>
      </c>
      <c r="BL54" s="745">
        <f>IF(AND(DAY(Postup!$H$25)=31,MONTH(Postup!$H$25)=12),0,INDEX($E54:$BP54,MATCH($BL$57,$E$57:$BP$57,0))*Výpočty!$E$23)</f>
        <v>0</v>
      </c>
      <c r="BM54" s="129">
        <f>IF(AND(DAY(Postup!$H$25)=31,MONTH(Postup!$H$25)=12),0,INDEX($E54:$BP54,MATCH($BM$57,$E$57:$BP$57,0))*Výpočty!$E$23)</f>
        <v>0</v>
      </c>
      <c r="BN54" s="147"/>
      <c r="BO54" s="147"/>
      <c r="BP54" s="147"/>
    </row>
    <row r="55" spans="1:68" x14ac:dyDescent="0.25">
      <c r="A55" s="195"/>
      <c r="B55" s="42" t="s">
        <v>64</v>
      </c>
      <c r="C55" s="38" t="s">
        <v>68</v>
      </c>
      <c r="D55" s="43" t="s">
        <v>203</v>
      </c>
      <c r="E55" s="730">
        <f>Nabídka!F50</f>
        <v>0</v>
      </c>
      <c r="F55" s="731">
        <f>Nabídka!H50</f>
        <v>0</v>
      </c>
      <c r="G55" s="128">
        <f>IF(AND(DAY(Postup!$H$24)=1,MONTH(Postup!$H$24)=1),0,E55*Výpočty!$E$17)</f>
        <v>0</v>
      </c>
      <c r="H55" s="129">
        <f>IF(AND(DAY(Postup!$H$24)=1,MONTH(Postup!$H$24)=1),0,F55*Výpočty!$E$17)</f>
        <v>0</v>
      </c>
      <c r="I55" s="491">
        <v>0</v>
      </c>
      <c r="J55" s="492">
        <v>0</v>
      </c>
      <c r="K55" s="933"/>
      <c r="L55" s="933"/>
      <c r="M55" s="934"/>
      <c r="N55" s="153" t="str">
        <f t="shared" si="11"/>
        <v xml:space="preserve">-  </v>
      </c>
      <c r="O55" s="591">
        <f>Nabídka!F50</f>
        <v>0</v>
      </c>
      <c r="P55" s="722">
        <f>Nabídka!H50</f>
        <v>0</v>
      </c>
      <c r="Q55" s="491">
        <v>0</v>
      </c>
      <c r="R55" s="492">
        <v>0</v>
      </c>
      <c r="S55" s="243" t="str">
        <f t="shared" si="12"/>
        <v xml:space="preserve">-  </v>
      </c>
      <c r="T55" s="591">
        <f>Nabídka!F50</f>
        <v>0</v>
      </c>
      <c r="U55" s="722">
        <f>Nabídka!H50</f>
        <v>0</v>
      </c>
      <c r="V55" s="491">
        <v>0</v>
      </c>
      <c r="W55" s="492">
        <v>0</v>
      </c>
      <c r="X55" s="153" t="str">
        <f t="shared" si="13"/>
        <v xml:space="preserve">-  </v>
      </c>
      <c r="Y55" s="591">
        <f>Nabídka!F50</f>
        <v>0</v>
      </c>
      <c r="Z55" s="722">
        <f>Nabídka!H50</f>
        <v>0</v>
      </c>
      <c r="AA55" s="491">
        <v>0</v>
      </c>
      <c r="AB55" s="492">
        <v>0</v>
      </c>
      <c r="AC55" s="153" t="str">
        <f t="shared" si="14"/>
        <v xml:space="preserve">-  </v>
      </c>
      <c r="AD55" s="591">
        <f>Nabídka!F50</f>
        <v>0</v>
      </c>
      <c r="AE55" s="722">
        <f>Nabídka!H50</f>
        <v>0</v>
      </c>
      <c r="AF55" s="491">
        <v>0</v>
      </c>
      <c r="AG55" s="492">
        <v>0</v>
      </c>
      <c r="AH55" s="153" t="str">
        <f t="shared" si="15"/>
        <v xml:space="preserve">-  </v>
      </c>
      <c r="AI55" s="591">
        <f>Nabídka!F50</f>
        <v>0</v>
      </c>
      <c r="AJ55" s="722">
        <f>Nabídka!H50</f>
        <v>0</v>
      </c>
      <c r="AK55" s="491">
        <v>0</v>
      </c>
      <c r="AL55" s="492">
        <v>0</v>
      </c>
      <c r="AM55" s="153" t="str">
        <f t="shared" si="16"/>
        <v xml:space="preserve">-  </v>
      </c>
      <c r="AN55" s="591">
        <f>Nabídka!F50</f>
        <v>0</v>
      </c>
      <c r="AO55" s="587">
        <f>Nabídka!H50</f>
        <v>0</v>
      </c>
      <c r="AP55" s="491">
        <v>0</v>
      </c>
      <c r="AQ55" s="492">
        <v>0</v>
      </c>
      <c r="AR55" s="153" t="str">
        <f t="shared" si="17"/>
        <v xml:space="preserve">-  </v>
      </c>
      <c r="AS55" s="591">
        <f>Nabídka!F50</f>
        <v>0</v>
      </c>
      <c r="AT55" s="587">
        <f>Nabídka!H50</f>
        <v>0</v>
      </c>
      <c r="AU55" s="491">
        <v>0</v>
      </c>
      <c r="AV55" s="492">
        <v>0</v>
      </c>
      <c r="AW55" s="153" t="str">
        <f t="shared" si="18"/>
        <v xml:space="preserve">-  </v>
      </c>
      <c r="AX55" s="591">
        <f>Nabídka!F50</f>
        <v>0</v>
      </c>
      <c r="AY55" s="599">
        <f>Nabídka!H50</f>
        <v>0</v>
      </c>
      <c r="AZ55" s="491">
        <v>0</v>
      </c>
      <c r="BA55" s="492">
        <v>0</v>
      </c>
      <c r="BB55" s="243" t="str">
        <f t="shared" si="19"/>
        <v xml:space="preserve">-  </v>
      </c>
      <c r="BC55" s="591">
        <f>Nabídka!F50</f>
        <v>0</v>
      </c>
      <c r="BD55" s="599">
        <f>Nabídka!H50</f>
        <v>0</v>
      </c>
      <c r="BE55" s="491">
        <v>0</v>
      </c>
      <c r="BF55" s="492">
        <v>0</v>
      </c>
      <c r="BG55" s="243" t="str">
        <f t="shared" si="20"/>
        <v xml:space="preserve">-  </v>
      </c>
      <c r="BH55" s="591">
        <f>Nabídka!F50</f>
        <v>0</v>
      </c>
      <c r="BI55" s="599">
        <f>Nabídka!H50</f>
        <v>0</v>
      </c>
      <c r="BJ55" s="491">
        <v>0</v>
      </c>
      <c r="BK55" s="492">
        <v>0</v>
      </c>
      <c r="BL55" s="745">
        <f>IF(AND(DAY(Postup!$H$25)=31,MONTH(Postup!$H$25)=12),0,INDEX($E55:$BP55,MATCH($BL$57,$E$57:$BP$57,0))*Výpočty!$E$23)</f>
        <v>0</v>
      </c>
      <c r="BM55" s="129">
        <f>IF(AND(DAY(Postup!$H$25)=31,MONTH(Postup!$H$25)=12),0,INDEX($E55:$BP55,MATCH($BM$57,$E$57:$BP$57,0))*Výpočty!$E$23)</f>
        <v>0</v>
      </c>
      <c r="BN55" s="147"/>
      <c r="BO55" s="147"/>
      <c r="BP55" s="147"/>
    </row>
    <row r="56" spans="1:68" ht="15.75" thickBot="1" x14ac:dyDescent="0.3">
      <c r="A56" s="195"/>
      <c r="B56" s="42" t="s">
        <v>66</v>
      </c>
      <c r="C56" s="38" t="s">
        <v>69</v>
      </c>
      <c r="D56" s="43" t="s">
        <v>203</v>
      </c>
      <c r="E56" s="733">
        <f>Nabídka!F51</f>
        <v>0</v>
      </c>
      <c r="F56" s="732">
        <f>Nabídka!H51</f>
        <v>0</v>
      </c>
      <c r="G56" s="199">
        <f>IF(AND(DAY(Postup!$H$24)=1,MONTH(Postup!$H$24)=1),0,E56*Výpočty!$E$17)</f>
        <v>0</v>
      </c>
      <c r="H56" s="131">
        <f>IF(AND(DAY(Postup!$H$24)=1,MONTH(Postup!$H$24)=1),0,F56*Výpočty!$E$17)</f>
        <v>0</v>
      </c>
      <c r="I56" s="494">
        <v>0</v>
      </c>
      <c r="J56" s="493">
        <v>0</v>
      </c>
      <c r="K56" s="933"/>
      <c r="L56" s="933"/>
      <c r="M56" s="934"/>
      <c r="N56" s="153" t="str">
        <f t="shared" si="11"/>
        <v xml:space="preserve">-  </v>
      </c>
      <c r="O56" s="598">
        <f>Nabídka!F51</f>
        <v>0</v>
      </c>
      <c r="P56" s="723">
        <f>Nabídka!H51</f>
        <v>0</v>
      </c>
      <c r="Q56" s="494">
        <v>0</v>
      </c>
      <c r="R56" s="493">
        <v>0</v>
      </c>
      <c r="S56" s="243" t="str">
        <f t="shared" si="12"/>
        <v xml:space="preserve">-  </v>
      </c>
      <c r="T56" s="598">
        <f>Nabídka!F51</f>
        <v>0</v>
      </c>
      <c r="U56" s="723">
        <f>Nabídka!H51</f>
        <v>0</v>
      </c>
      <c r="V56" s="494">
        <v>0</v>
      </c>
      <c r="W56" s="493">
        <v>0</v>
      </c>
      <c r="X56" s="153" t="str">
        <f t="shared" si="13"/>
        <v xml:space="preserve">-  </v>
      </c>
      <c r="Y56" s="598">
        <f>Nabídka!F51</f>
        <v>0</v>
      </c>
      <c r="Z56" s="723">
        <f>Nabídka!H51</f>
        <v>0</v>
      </c>
      <c r="AA56" s="494">
        <v>0</v>
      </c>
      <c r="AB56" s="493">
        <v>0</v>
      </c>
      <c r="AC56" s="153" t="str">
        <f t="shared" si="14"/>
        <v xml:space="preserve">-  </v>
      </c>
      <c r="AD56" s="598">
        <f>Nabídka!F51</f>
        <v>0</v>
      </c>
      <c r="AE56" s="723">
        <f>Nabídka!H51</f>
        <v>0</v>
      </c>
      <c r="AF56" s="494">
        <v>0</v>
      </c>
      <c r="AG56" s="493">
        <v>0</v>
      </c>
      <c r="AH56" s="153" t="str">
        <f t="shared" si="15"/>
        <v xml:space="preserve">-  </v>
      </c>
      <c r="AI56" s="598">
        <f>Nabídka!F51</f>
        <v>0</v>
      </c>
      <c r="AJ56" s="723">
        <f>Nabídka!H51</f>
        <v>0</v>
      </c>
      <c r="AK56" s="494">
        <v>0</v>
      </c>
      <c r="AL56" s="493">
        <v>0</v>
      </c>
      <c r="AM56" s="153" t="str">
        <f t="shared" si="16"/>
        <v xml:space="preserve">-  </v>
      </c>
      <c r="AN56" s="598">
        <f>Nabídka!F51</f>
        <v>0</v>
      </c>
      <c r="AO56" s="597">
        <f>Nabídka!H51</f>
        <v>0</v>
      </c>
      <c r="AP56" s="494">
        <v>0</v>
      </c>
      <c r="AQ56" s="493">
        <v>0</v>
      </c>
      <c r="AR56" s="153" t="str">
        <f t="shared" si="17"/>
        <v xml:space="preserve">-  </v>
      </c>
      <c r="AS56" s="598">
        <f>Nabídka!F51</f>
        <v>0</v>
      </c>
      <c r="AT56" s="597">
        <f>Nabídka!H51</f>
        <v>0</v>
      </c>
      <c r="AU56" s="494">
        <v>0</v>
      </c>
      <c r="AV56" s="493">
        <v>0</v>
      </c>
      <c r="AW56" s="153" t="str">
        <f t="shared" si="18"/>
        <v xml:space="preserve">-  </v>
      </c>
      <c r="AX56" s="598">
        <f>Nabídka!F51</f>
        <v>0</v>
      </c>
      <c r="AY56" s="600">
        <f>Nabídka!H51</f>
        <v>0</v>
      </c>
      <c r="AZ56" s="494">
        <v>0</v>
      </c>
      <c r="BA56" s="493">
        <v>0</v>
      </c>
      <c r="BB56" s="243" t="str">
        <f t="shared" si="19"/>
        <v xml:space="preserve">-  </v>
      </c>
      <c r="BC56" s="598">
        <f>Nabídka!F51</f>
        <v>0</v>
      </c>
      <c r="BD56" s="600">
        <f>Nabídka!H51</f>
        <v>0</v>
      </c>
      <c r="BE56" s="494">
        <v>0</v>
      </c>
      <c r="BF56" s="493">
        <v>0</v>
      </c>
      <c r="BG56" s="243" t="str">
        <f t="shared" si="20"/>
        <v xml:space="preserve">-  </v>
      </c>
      <c r="BH56" s="598">
        <f>Nabídka!F51</f>
        <v>0</v>
      </c>
      <c r="BI56" s="600">
        <f>Nabídka!H51</f>
        <v>0</v>
      </c>
      <c r="BJ56" s="494">
        <v>0</v>
      </c>
      <c r="BK56" s="493">
        <v>0</v>
      </c>
      <c r="BL56" s="747">
        <f>IF(AND(DAY(Postup!$H$25)=31,MONTH(Postup!$H$25)=12),0,INDEX($E56:$BP56,MATCH($BL$57,$E$57:$BP$57,0))*Výpočty!$E$23)</f>
        <v>0</v>
      </c>
      <c r="BM56" s="131">
        <f>IF(AND(DAY(Postup!$H$25)=31,MONTH(Postup!$H$25)=12),0,INDEX($E56:$BP56,MATCH($BM$57,$E$57:$BP$57,0))*Výpočty!$E$23)</f>
        <v>0</v>
      </c>
      <c r="BN56" s="147"/>
      <c r="BO56" s="147"/>
      <c r="BP56" s="147"/>
    </row>
    <row r="57" spans="1:68" x14ac:dyDescent="0.25">
      <c r="A57" s="195"/>
      <c r="B57" s="94"/>
      <c r="C57" s="47"/>
      <c r="D57" s="95"/>
      <c r="E57" s="158" t="str">
        <f>CONCATENATE(E18," PV")</f>
        <v>2024 PV</v>
      </c>
      <c r="F57" s="158" t="str">
        <f>CONCATENATE(E18," OV")</f>
        <v>2024 OV</v>
      </c>
      <c r="G57" s="147"/>
      <c r="H57" s="147"/>
      <c r="K57" s="97"/>
      <c r="L57" s="97"/>
      <c r="M57" s="97"/>
      <c r="N57" s="98"/>
      <c r="O57" s="158" t="str">
        <f>CONCATENATE(O18," PV")</f>
        <v>2025 PV</v>
      </c>
      <c r="P57" s="158" t="str">
        <f>CONCATENATE(O18," OV")</f>
        <v>2025 OV</v>
      </c>
      <c r="Q57" s="196"/>
      <c r="S57" s="145"/>
      <c r="T57" s="158" t="str">
        <f>CONCATENATE(T18," PV")</f>
        <v>2026 PV</v>
      </c>
      <c r="U57" s="158" t="str">
        <f>CONCATENATE(T18," OV")</f>
        <v>2026 OV</v>
      </c>
      <c r="V57" s="196"/>
      <c r="X57" s="194"/>
      <c r="Y57" s="158" t="str">
        <f>CONCATENATE(Y18," PV")</f>
        <v>2027 PV</v>
      </c>
      <c r="Z57" s="158" t="str">
        <f>CONCATENATE(Y18," OV")</f>
        <v>2027 OV</v>
      </c>
      <c r="AA57" s="196"/>
      <c r="AC57" s="194"/>
      <c r="AD57" s="158" t="str">
        <f>CONCATENATE(AD18," PV")</f>
        <v>2028 PV</v>
      </c>
      <c r="AE57" s="158" t="str">
        <f>CONCATENATE(AD18," OV")</f>
        <v>2028 OV</v>
      </c>
      <c r="AF57" s="196"/>
      <c r="AH57" s="194"/>
      <c r="AI57" s="158" t="str">
        <f>CONCATENATE(AI18," PV")</f>
        <v>2029 PV</v>
      </c>
      <c r="AJ57" s="158" t="str">
        <f>CONCATENATE(AI18," OV")</f>
        <v>2029 OV</v>
      </c>
      <c r="AK57" s="196"/>
      <c r="AM57" s="194"/>
      <c r="AN57" s="158" t="str">
        <f>CONCATENATE(AN18," PV")</f>
        <v>2030 PV</v>
      </c>
      <c r="AO57" s="158" t="str">
        <f>CONCATENATE(AN18," OV")</f>
        <v>2030 OV</v>
      </c>
      <c r="AP57" s="196"/>
      <c r="AR57" s="194"/>
      <c r="AS57" s="158" t="str">
        <f>CONCATENATE(AS18," PV")</f>
        <v>2031 PV</v>
      </c>
      <c r="AT57" s="158" t="str">
        <f>CONCATENATE(AS18," OV")</f>
        <v>2031 OV</v>
      </c>
      <c r="AU57" s="196"/>
      <c r="AW57" s="194"/>
      <c r="AX57" s="158" t="str">
        <f>CONCATENATE(AX18," PV")</f>
        <v>2032 PV</v>
      </c>
      <c r="AY57" s="158" t="str">
        <f>CONCATENATE(AX18," OV")</f>
        <v>2032 OV</v>
      </c>
      <c r="AZ57" s="196"/>
      <c r="BB57" s="194"/>
      <c r="BC57" s="158" t="str">
        <f>CONCATENATE(BC18," PV")</f>
        <v>2033 PV</v>
      </c>
      <c r="BD57" s="158" t="str">
        <f>CONCATENATE(BC18," OV")</f>
        <v>2033 OV</v>
      </c>
      <c r="BE57" s="196"/>
      <c r="BG57" s="194"/>
      <c r="BH57" s="158" t="str">
        <f>CONCATENATE(BH18," PV")</f>
        <v>2034 PV</v>
      </c>
      <c r="BI57" s="158" t="str">
        <f>CONCATENATE(BH18," OV")</f>
        <v>2034 OV</v>
      </c>
      <c r="BJ57" s="196"/>
      <c r="BL57" s="158" t="str">
        <f>CONCATENATE(BL19," PV")</f>
        <v>2025 PV</v>
      </c>
      <c r="BM57" s="158" t="str">
        <f>CONCATENATE(BL19," OV")</f>
        <v>2025 OV</v>
      </c>
      <c r="BN57" s="324"/>
      <c r="BO57" s="325"/>
      <c r="BP57" s="252"/>
    </row>
    <row r="58" spans="1:68" x14ac:dyDescent="0.25">
      <c r="A58" s="195"/>
      <c r="B58" s="960"/>
      <c r="C58" s="960"/>
      <c r="D58" s="974" t="s">
        <v>229</v>
      </c>
      <c r="E58" s="974"/>
      <c r="F58" s="974"/>
      <c r="G58" s="974"/>
      <c r="H58" s="974"/>
      <c r="I58" s="268">
        <f>IF(OR(I16="Neaktivní",Postup!$M$65=0),0,IF($E49=0,0,(I59-$E49)/$E49))</f>
        <v>0</v>
      </c>
      <c r="J58" s="268">
        <f>IF(OR(I16="Neaktivní",Postup!$M$65=0),0,IF($F51+$F53=0,0,(J59-($F51+$F53))/($F51+$F53)))</f>
        <v>0</v>
      </c>
      <c r="K58" s="941"/>
      <c r="L58" s="942"/>
      <c r="M58" s="942"/>
      <c r="N58" s="943"/>
      <c r="O58" s="268">
        <f>IF(Postup!$M$65=0,0,IF($E49=0,0,(O49-$E49)/$E49))</f>
        <v>0</v>
      </c>
      <c r="P58" s="268">
        <f>IF(Postup!$M$65=0,0,IF(($F51+$F53)=0,0,((P51+P53)-($F51+$F53))/($F51+$F53)))</f>
        <v>0</v>
      </c>
      <c r="Q58" s="268">
        <f>IF(OR(Q16="Neaktivní",Postup!$M$65=0),0,IF($E49=0,0,(Q59-$E49)/$E49))</f>
        <v>0</v>
      </c>
      <c r="R58" s="268">
        <f>IF(OR(Q16="Neaktivní",Postup!$M$65=0),0,IF($F51+$F53=0,0,(R59-($F51+$F53))/($F51+$F53)))</f>
        <v>0</v>
      </c>
      <c r="S58" s="269"/>
      <c r="T58" s="268">
        <f>IF(Postup!$M$65=0,0,IF($E49=0,0,(T49-$E49)/$E49))</f>
        <v>0</v>
      </c>
      <c r="U58" s="268">
        <f>IF(Postup!$M$65=0,0,IF(($F51+$F53)=0,0,((U51+U53)-($F51+$F53))/($F51+$F53)))</f>
        <v>0</v>
      </c>
      <c r="V58" s="268">
        <f>IF(OR(V16="Neaktivní",Postup!$M$65=0),0,IF($E49=0,0,(V59-$E49)/$E49))</f>
        <v>0</v>
      </c>
      <c r="W58" s="268">
        <f>IF(OR(V16="Neaktivní",Postup!$M$65=0),0,IF($F51+$F53=0,0,(W59-($F51+$F53))/($F51+$F53)))</f>
        <v>0</v>
      </c>
      <c r="X58" s="269"/>
      <c r="Y58" s="268">
        <f>IF(Postup!$M$65=0,0,IF($E49=0,0,(Y49-$E49)/$E49))</f>
        <v>0</v>
      </c>
      <c r="Z58" s="268">
        <f>IF(Postup!$M$65=0,0,IF(($F51+$F53)=0,0,((Z51+Z53)-($F51+$F53))/($F51+$F53)))</f>
        <v>0</v>
      </c>
      <c r="AA58" s="268">
        <f>IF(OR(AA16="Neaktivní",Postup!$M$65=0),0,IF($E49=0,0,(AA59-$E49)/$E49))</f>
        <v>0</v>
      </c>
      <c r="AB58" s="268">
        <f>IF(OR(AA16="Neaktivní",Postup!$M$65=0),0,IF($F51+$F53=0,0,(AB59-($F51+$F53))/($F51+$F53)))</f>
        <v>0</v>
      </c>
      <c r="AC58" s="269"/>
      <c r="AD58" s="268">
        <f>IF(Postup!$M$65=0,0,IF($E49=0,0,(AD49-$E49)/$E49))</f>
        <v>0</v>
      </c>
      <c r="AE58" s="268">
        <f>IF(Postup!$M$65=0,0,IF(($F51+$F53)=0,0,((AE51+AE53)-($F51+$F53))/($F51+$F53)))</f>
        <v>0</v>
      </c>
      <c r="AF58" s="268">
        <f>IF(OR(AF16="Neaktivní",Postup!$M$65=0),0,IF($E49=0,0,(AF59-$E49)/$E49))</f>
        <v>0</v>
      </c>
      <c r="AG58" s="268">
        <f>IF(OR(AF16="Neaktivní",Postup!$M$65=0),0,IF($F51+$F53=0,0,(AG59-($F51+$F53))/($F51+$F53)))</f>
        <v>0</v>
      </c>
      <c r="AH58" s="269"/>
      <c r="AI58" s="268">
        <f>IF(Postup!$M$65=0,0,IF($E49=0,0,(AI49-$E49)/$E49))</f>
        <v>0</v>
      </c>
      <c r="AJ58" s="268">
        <f>IF(Postup!$M$65=0,0,IF(($F51+$F53)=0,0,((AJ51+AJ53)-($F51+$F53))/($F51+$F53)))</f>
        <v>0</v>
      </c>
      <c r="AK58" s="268">
        <f>IF(OR(AK16="Neaktivní",Postup!$M$65=0),0,IF($E49=0,0,(AK59-$E49)/$E49))</f>
        <v>0</v>
      </c>
      <c r="AL58" s="268">
        <f>IF(OR(AK16="Neaktivní",Postup!$M$65=0),0,IF($F51+$F53=0,0,(AL59-($F51+$F53))/($F51+$F53)))</f>
        <v>0</v>
      </c>
      <c r="AM58" s="269"/>
      <c r="AN58" s="268">
        <f>IF(Postup!$M$65=0,0,IF($E49=0,0,(AN49-$E49)/$E49))</f>
        <v>0</v>
      </c>
      <c r="AO58" s="268">
        <f>IF(Postup!$M$65=0,0,IF(($F51+$F53)=0,0,((AO51+AO53)-($F51+$F53))/($F51+$F53)))</f>
        <v>0</v>
      </c>
      <c r="AP58" s="268">
        <f>IF(OR(AP16="Neaktivní",Postup!$M$65=0),0,IF($E49=0,0,(AP59-$E49)/$E49))</f>
        <v>0</v>
      </c>
      <c r="AQ58" s="268">
        <f>IF(OR(AP16="Neaktivní",Postup!$M$65=0),0,IF($F51+$F53=0,0,(AQ59-($F51+$F53))/($F51+$F53)))</f>
        <v>0</v>
      </c>
      <c r="AR58" s="269"/>
      <c r="AS58" s="268">
        <f>IF(Postup!$M$65=0,0,IF($E49=0,0,(AS49-$E49)/$E49))</f>
        <v>0</v>
      </c>
      <c r="AT58" s="268">
        <f>IF(Postup!$M$65=0,0,IF(($F51+$F53)=0,0,((AT51+AT53)-($F51+$F53))/($F51+$F53)))</f>
        <v>0</v>
      </c>
      <c r="AU58" s="268">
        <f>IF(OR(AU16="Neaktivní",Postup!$M$65=0),0,IF($E49=0,0,(AU59-$E49)/$E49))</f>
        <v>0</v>
      </c>
      <c r="AV58" s="268">
        <f>IF(OR(AU16="Neaktivní",Postup!$M$65=0),0,IF($F51+$F53=0,0,(AV59-($F51+$F53))/($F51+$F53)))</f>
        <v>0</v>
      </c>
      <c r="AW58" s="269"/>
      <c r="AX58" s="268">
        <f>IF(Postup!$M$65=0,0,IF($E49=0,0,(AX49-$E49)/$E49))</f>
        <v>0</v>
      </c>
      <c r="AY58" s="268">
        <f>IF(Postup!$M$65=0,0,IF(($F51+$F53)=0,0,((AY51+AY53)-($F51+$F53))/($F51+$F53)))</f>
        <v>0</v>
      </c>
      <c r="AZ58" s="268">
        <f>IF(OR(AZ16="Neaktivní",Postup!$M$65=0),0,IF($E49=0,0,(AZ59-$E49)/$E49))</f>
        <v>0</v>
      </c>
      <c r="BA58" s="268">
        <f>IF(OR(AZ16="Neaktivní",Postup!$M$65=0),0,IF($F51+$F53=0,0,(BA59-($F51+$F53))/($F51+$F53)))</f>
        <v>0</v>
      </c>
      <c r="BB58" s="269"/>
      <c r="BC58" s="268">
        <f>IF(Postup!$M$65=0,0,IF($E49=0,0,(BC49-$E49)/$E49))</f>
        <v>0</v>
      </c>
      <c r="BD58" s="268">
        <f>IF(Postup!$M$65=0,0,IF(($F51+$F53)=0,0,((BD51+BD53)-($F51+$F53))/($F51+$F53)))</f>
        <v>0</v>
      </c>
      <c r="BE58" s="268">
        <f>IF(OR(BE16="Neaktivní",Postup!$M$65=0),0,IF($E49=0,0,(BE59-$E49)/$E49))</f>
        <v>0</v>
      </c>
      <c r="BF58" s="268">
        <f>IF(OR(BE16="Neaktivní",Postup!$M$65=0),0,IF($F51+$F53=0,0,(BF59-($F51+$F53))/($F51+$F53)))</f>
        <v>0</v>
      </c>
      <c r="BG58" s="269"/>
      <c r="BH58" s="268">
        <f>IF(Postup!$M$65=0,0,IF($E49=0,0,(BH49-$E49)/$E49))</f>
        <v>0</v>
      </c>
      <c r="BI58" s="268">
        <f>IF(Postup!$M$65=0,0,IF(($F51+$F53)=0,0,((BI51+BI53)-($F51+$F53))/($F51+$F53)))</f>
        <v>0</v>
      </c>
      <c r="BJ58" s="268">
        <f>IF(OR(BJ16="Neaktivní",Postup!$M$65=0),0,IF($E49=0,0,(BJ59-$E49)/$E49))</f>
        <v>0</v>
      </c>
      <c r="BK58" s="268">
        <f>IF(OR(BJ16="Neaktivní",Postup!$M$65=0),0,IF($F51+$F53=0,0,(BK59-($F51+$F53))/($F51+$F53)))</f>
        <v>0</v>
      </c>
      <c r="BL58" s="195"/>
      <c r="BM58" s="195"/>
      <c r="BN58" s="315"/>
      <c r="BO58" s="315"/>
      <c r="BP58" s="315"/>
    </row>
    <row r="59" spans="1:68" x14ac:dyDescent="0.25">
      <c r="A59" s="195"/>
      <c r="B59" s="94"/>
      <c r="C59" s="47"/>
      <c r="D59" s="974" t="s">
        <v>230</v>
      </c>
      <c r="E59" s="974"/>
      <c r="F59" s="974"/>
      <c r="G59" s="974"/>
      <c r="H59" s="974"/>
      <c r="I59" s="357" t="str">
        <f>IF(I16="Neaktivní","-",I49)</f>
        <v>-</v>
      </c>
      <c r="J59" s="357" t="str">
        <f>IF(I16="Neaktivní","-",(J51+J53))</f>
        <v>-</v>
      </c>
      <c r="K59" s="1025"/>
      <c r="L59" s="1026"/>
      <c r="M59" s="1026"/>
      <c r="N59" s="1026"/>
      <c r="O59" s="1026"/>
      <c r="P59" s="1027"/>
      <c r="Q59" s="357" t="str">
        <f>IF(Q16="Neaktivní","-",Q49)</f>
        <v>-</v>
      </c>
      <c r="R59" s="357" t="str">
        <f>IF(Q16="Neaktivní","-",(R51+R53))</f>
        <v>-</v>
      </c>
      <c r="S59" s="928"/>
      <c r="T59" s="929"/>
      <c r="U59" s="930"/>
      <c r="V59" s="357" t="str">
        <f>IF(V16="Neaktivní","-",V49)</f>
        <v>-</v>
      </c>
      <c r="W59" s="357" t="str">
        <f>IF(V16="Neaktivní","-",(W51+W53))</f>
        <v>-</v>
      </c>
      <c r="X59" s="921"/>
      <c r="Y59" s="922"/>
      <c r="Z59" s="923"/>
      <c r="AA59" s="357" t="str">
        <f>IF(AA16="Neaktivní","-",AA49)</f>
        <v>-</v>
      </c>
      <c r="AB59" s="357" t="str">
        <f>IF(AA16="Neaktivní","-",(AB51+AB53))</f>
        <v>-</v>
      </c>
      <c r="AC59" s="921"/>
      <c r="AD59" s="922"/>
      <c r="AE59" s="923"/>
      <c r="AF59" s="357" t="str">
        <f>IF(AF16="Neaktivní","-",AF49)</f>
        <v>-</v>
      </c>
      <c r="AG59" s="357" t="str">
        <f>IF(AF16="Neaktivní","-",(AG51+AG53))</f>
        <v>-</v>
      </c>
      <c r="AH59" s="921"/>
      <c r="AI59" s="922"/>
      <c r="AJ59" s="923"/>
      <c r="AK59" s="357" t="str">
        <f>IF(AK16="Neaktivní","-",AK49)</f>
        <v>-</v>
      </c>
      <c r="AL59" s="357" t="str">
        <f>IF(AK16="Neaktivní","-",(AL51+AL53))</f>
        <v>-</v>
      </c>
      <c r="AM59" s="918"/>
      <c r="AN59" s="919"/>
      <c r="AO59" s="920"/>
      <c r="AP59" s="357" t="str">
        <f>IF(AP16="Neaktivní","-",AP49)</f>
        <v>-</v>
      </c>
      <c r="AQ59" s="357" t="str">
        <f>IF(AP16="Neaktivní","-",(AQ51+AQ53))</f>
        <v>-</v>
      </c>
      <c r="AR59" s="918"/>
      <c r="AS59" s="919"/>
      <c r="AT59" s="920"/>
      <c r="AU59" s="357" t="str">
        <f>IF(AU16="Neaktivní","-",AU49)</f>
        <v>-</v>
      </c>
      <c r="AV59" s="357" t="str">
        <f>IF(AU16="Neaktivní","-",(AV51+AV53))</f>
        <v>-</v>
      </c>
      <c r="AW59" s="918"/>
      <c r="AX59" s="919"/>
      <c r="AY59" s="920"/>
      <c r="AZ59" s="357" t="str">
        <f>IF(AZ16="Neaktivní","-",AZ49)</f>
        <v>-</v>
      </c>
      <c r="BA59" s="357" t="str">
        <f>IF(AZ16="Neaktivní","-",(BA51+BA53))</f>
        <v>-</v>
      </c>
      <c r="BB59" s="918"/>
      <c r="BC59" s="919"/>
      <c r="BD59" s="920"/>
      <c r="BE59" s="357" t="str">
        <f>IF(BE16="Neaktivní","-",BE49)</f>
        <v>-</v>
      </c>
      <c r="BF59" s="357" t="str">
        <f>IF(BE16="Neaktivní","-",(BF51+BF53))</f>
        <v>-</v>
      </c>
      <c r="BG59" s="918"/>
      <c r="BH59" s="919"/>
      <c r="BI59" s="920"/>
      <c r="BJ59" s="357" t="str">
        <f>IF(BJ16="Neaktivní","-",BJ49)</f>
        <v>-</v>
      </c>
      <c r="BK59" s="357" t="str">
        <f>IF(BJ16="Neaktivní","-",(BK51+BK53))</f>
        <v>-</v>
      </c>
      <c r="BL59" s="277"/>
      <c r="BM59" s="277"/>
      <c r="BN59" s="277"/>
      <c r="BO59" s="147"/>
      <c r="BP59" s="147"/>
    </row>
    <row r="60" spans="1:68" x14ac:dyDescent="0.25">
      <c r="A60" s="195"/>
      <c r="B60" s="94"/>
      <c r="C60" s="47"/>
      <c r="D60" s="95"/>
      <c r="E60" s="96"/>
      <c r="F60" s="96"/>
      <c r="G60" s="96"/>
      <c r="H60" s="212"/>
      <c r="I60" s="267"/>
      <c r="J60" s="267"/>
      <c r="K60" s="97"/>
      <c r="L60" s="97"/>
      <c r="M60" s="97"/>
      <c r="N60" s="98"/>
      <c r="Q60" s="267"/>
      <c r="R60" s="267"/>
      <c r="S60" s="264"/>
      <c r="T60" s="265"/>
      <c r="U60" s="265"/>
      <c r="V60" s="265"/>
      <c r="W60" s="265"/>
      <c r="X60" s="265"/>
      <c r="Y60" s="265"/>
      <c r="Z60" s="265"/>
      <c r="AA60" s="265"/>
      <c r="AB60" s="265"/>
      <c r="AC60" s="265"/>
      <c r="AD60" s="265"/>
      <c r="AE60" s="265"/>
      <c r="AF60" s="265"/>
      <c r="AG60" s="265"/>
      <c r="AH60" s="265"/>
      <c r="AI60" s="265"/>
      <c r="AJ60" s="266"/>
      <c r="AK60" s="266"/>
      <c r="AL60" s="266"/>
      <c r="AM60" s="266"/>
      <c r="AN60" s="266"/>
      <c r="AO60" s="266"/>
      <c r="AP60" s="266"/>
      <c r="AQ60" s="266"/>
      <c r="AR60" s="266"/>
      <c r="AS60" s="266"/>
      <c r="AT60" s="266"/>
      <c r="AU60" s="266"/>
      <c r="AV60" s="266"/>
      <c r="AW60" s="266"/>
      <c r="AX60" s="266"/>
      <c r="AY60" s="266"/>
      <c r="AZ60" s="266"/>
      <c r="BA60" s="266"/>
      <c r="BB60" s="266"/>
      <c r="BC60" s="266"/>
      <c r="BD60" s="266"/>
      <c r="BE60" s="266"/>
      <c r="BF60" s="266"/>
      <c r="BG60" s="266"/>
      <c r="BH60" s="266"/>
      <c r="BI60" s="266"/>
      <c r="BJ60" s="266"/>
      <c r="BK60" s="266"/>
      <c r="BL60" s="266"/>
      <c r="BM60" s="266"/>
      <c r="BN60" s="277"/>
      <c r="BO60" s="277"/>
      <c r="BP60" s="277"/>
    </row>
    <row r="61" spans="1:68" ht="15.75" thickBot="1" x14ac:dyDescent="0.3">
      <c r="E61" s="741"/>
    </row>
    <row r="62" spans="1:68" ht="14.45" customHeight="1" thickBot="1" x14ac:dyDescent="0.3">
      <c r="B62" s="992" t="s">
        <v>254</v>
      </c>
      <c r="C62" s="993"/>
      <c r="D62" s="993"/>
      <c r="E62" s="993"/>
      <c r="F62" s="993"/>
      <c r="G62" s="993"/>
      <c r="H62" s="993"/>
      <c r="I62" s="993"/>
      <c r="J62" s="994"/>
    </row>
    <row r="63" spans="1:68" ht="28.5" customHeight="1" x14ac:dyDescent="0.25">
      <c r="B63" s="1001" t="s">
        <v>5</v>
      </c>
      <c r="C63" s="999" t="s">
        <v>415</v>
      </c>
      <c r="D63" s="997" t="s">
        <v>363</v>
      </c>
      <c r="E63" s="990">
        <f>E18</f>
        <v>2024</v>
      </c>
      <c r="F63" s="991"/>
      <c r="G63" s="926" t="s">
        <v>166</v>
      </c>
      <c r="H63" s="927"/>
      <c r="I63" s="926" t="str">
        <f>CONCATENATE("Aktualizace ",E63)</f>
        <v>Aktualizace 2024</v>
      </c>
      <c r="J63" s="927"/>
      <c r="O63" s="926">
        <f>O18</f>
        <v>2025</v>
      </c>
      <c r="P63" s="927"/>
      <c r="Q63" s="1017" t="str">
        <f>CONCATENATE("Aktualizace ",O63)</f>
        <v>Aktualizace 2025</v>
      </c>
      <c r="R63" s="927"/>
      <c r="S63" s="567"/>
      <c r="T63" s="926">
        <f>T18</f>
        <v>2026</v>
      </c>
      <c r="U63" s="927"/>
      <c r="V63" s="1017" t="str">
        <f>CONCATENATE("Aktualizace ",T63)</f>
        <v>Aktualizace 2026</v>
      </c>
      <c r="W63" s="927"/>
      <c r="X63" s="567"/>
      <c r="Y63" s="926">
        <f>Y18</f>
        <v>2027</v>
      </c>
      <c r="Z63" s="927"/>
      <c r="AA63" s="1017" t="str">
        <f>CONCATENATE("Aktualizace ",Y63)</f>
        <v>Aktualizace 2027</v>
      </c>
      <c r="AB63" s="927"/>
      <c r="AC63" s="567"/>
      <c r="AD63" s="926">
        <f>AD18</f>
        <v>2028</v>
      </c>
      <c r="AE63" s="927"/>
      <c r="AF63" s="1017" t="str">
        <f>CONCATENATE("Aktualizace ",AD63)</f>
        <v>Aktualizace 2028</v>
      </c>
      <c r="AG63" s="927"/>
      <c r="AH63" s="567"/>
      <c r="AI63" s="926">
        <f>AI18</f>
        <v>2029</v>
      </c>
      <c r="AJ63" s="927"/>
      <c r="AK63" s="1017" t="str">
        <f>CONCATENATE("Aktualizace ",AI63)</f>
        <v>Aktualizace 2029</v>
      </c>
      <c r="AL63" s="927"/>
      <c r="AM63" s="567"/>
      <c r="AN63" s="926">
        <f>AN18</f>
        <v>2030</v>
      </c>
      <c r="AO63" s="927"/>
      <c r="AP63" s="1017" t="str">
        <f>CONCATENATE("Aktualizace ",AN63)</f>
        <v>Aktualizace 2030</v>
      </c>
      <c r="AQ63" s="927"/>
      <c r="AR63" s="567"/>
      <c r="AS63" s="926">
        <f>AS18</f>
        <v>2031</v>
      </c>
      <c r="AT63" s="927"/>
      <c r="AU63" s="1017" t="str">
        <f>CONCATENATE("Aktualizace ",AS63)</f>
        <v>Aktualizace 2031</v>
      </c>
      <c r="AV63" s="927"/>
      <c r="AW63" s="567"/>
      <c r="AX63" s="926">
        <f>AX18</f>
        <v>2032</v>
      </c>
      <c r="AY63" s="927"/>
      <c r="AZ63" s="1017" t="str">
        <f>CONCATENATE("Aktualizace ",AX63)</f>
        <v>Aktualizace 2032</v>
      </c>
      <c r="BA63" s="927"/>
      <c r="BB63" s="567"/>
      <c r="BC63" s="926">
        <f>BC18</f>
        <v>2033</v>
      </c>
      <c r="BD63" s="927"/>
      <c r="BE63" s="1017" t="str">
        <f>CONCATENATE("Aktualizace ",BC63)</f>
        <v>Aktualizace 2033</v>
      </c>
      <c r="BF63" s="927"/>
      <c r="BG63" s="567"/>
      <c r="BH63" s="926">
        <f>BH18</f>
        <v>2034</v>
      </c>
      <c r="BI63" s="927"/>
      <c r="BJ63" s="926" t="str">
        <f>CONCATENATE("Aktualizace ",BH63)</f>
        <v>Aktualizace 2034</v>
      </c>
      <c r="BK63" s="927"/>
      <c r="BL63" s="1017" t="s">
        <v>191</v>
      </c>
      <c r="BM63" s="927"/>
    </row>
    <row r="64" spans="1:68" x14ac:dyDescent="0.25">
      <c r="B64" s="1002"/>
      <c r="C64" s="1000"/>
      <c r="D64" s="998"/>
      <c r="E64" s="565" t="s">
        <v>3</v>
      </c>
      <c r="F64" s="566" t="s">
        <v>4</v>
      </c>
      <c r="G64" s="565" t="s">
        <v>3</v>
      </c>
      <c r="H64" s="566" t="s">
        <v>4</v>
      </c>
      <c r="I64" s="565" t="s">
        <v>3</v>
      </c>
      <c r="J64" s="566" t="s">
        <v>4</v>
      </c>
      <c r="O64" s="565" t="s">
        <v>3</v>
      </c>
      <c r="P64" s="566" t="s">
        <v>4</v>
      </c>
      <c r="Q64" s="565" t="s">
        <v>3</v>
      </c>
      <c r="R64" s="566" t="s">
        <v>4</v>
      </c>
      <c r="S64" s="146"/>
      <c r="T64" s="565" t="s">
        <v>3</v>
      </c>
      <c r="U64" s="566" t="s">
        <v>4</v>
      </c>
      <c r="V64" s="565" t="s">
        <v>3</v>
      </c>
      <c r="W64" s="566" t="s">
        <v>4</v>
      </c>
      <c r="X64" s="146"/>
      <c r="Y64" s="565" t="s">
        <v>3</v>
      </c>
      <c r="Z64" s="566" t="s">
        <v>4</v>
      </c>
      <c r="AA64" s="565" t="s">
        <v>3</v>
      </c>
      <c r="AB64" s="566" t="s">
        <v>4</v>
      </c>
      <c r="AC64" s="146"/>
      <c r="AD64" s="565" t="s">
        <v>3</v>
      </c>
      <c r="AE64" s="566" t="s">
        <v>4</v>
      </c>
      <c r="AF64" s="565" t="s">
        <v>3</v>
      </c>
      <c r="AG64" s="566" t="s">
        <v>4</v>
      </c>
      <c r="AH64" s="146"/>
      <c r="AI64" s="565" t="s">
        <v>3</v>
      </c>
      <c r="AJ64" s="566" t="s">
        <v>4</v>
      </c>
      <c r="AK64" s="565" t="s">
        <v>3</v>
      </c>
      <c r="AL64" s="566" t="s">
        <v>4</v>
      </c>
      <c r="AM64" s="146"/>
      <c r="AN64" s="565" t="s">
        <v>3</v>
      </c>
      <c r="AO64" s="566" t="s">
        <v>4</v>
      </c>
      <c r="AP64" s="565" t="s">
        <v>3</v>
      </c>
      <c r="AQ64" s="566" t="s">
        <v>4</v>
      </c>
      <c r="AR64" s="146"/>
      <c r="AS64" s="565" t="s">
        <v>3</v>
      </c>
      <c r="AT64" s="566" t="s">
        <v>4</v>
      </c>
      <c r="AU64" s="565" t="s">
        <v>3</v>
      </c>
      <c r="AV64" s="566" t="s">
        <v>4</v>
      </c>
      <c r="AW64" s="146"/>
      <c r="AX64" s="565" t="s">
        <v>3</v>
      </c>
      <c r="AY64" s="566" t="s">
        <v>4</v>
      </c>
      <c r="AZ64" s="565" t="s">
        <v>3</v>
      </c>
      <c r="BA64" s="566" t="s">
        <v>4</v>
      </c>
      <c r="BB64" s="146"/>
      <c r="BC64" s="565" t="s">
        <v>3</v>
      </c>
      <c r="BD64" s="566" t="s">
        <v>4</v>
      </c>
      <c r="BE64" s="565" t="s">
        <v>3</v>
      </c>
      <c r="BF64" s="566" t="s">
        <v>4</v>
      </c>
      <c r="BG64" s="146"/>
      <c r="BH64" s="565" t="s">
        <v>3</v>
      </c>
      <c r="BI64" s="566" t="s">
        <v>4</v>
      </c>
      <c r="BJ64" s="565" t="s">
        <v>3</v>
      </c>
      <c r="BK64" s="566" t="s">
        <v>4</v>
      </c>
      <c r="BL64" s="569" t="s">
        <v>3</v>
      </c>
      <c r="BM64" s="566" t="s">
        <v>4</v>
      </c>
    </row>
    <row r="65" spans="1:68" ht="22.5" hidden="1" customHeight="1" x14ac:dyDescent="0.25">
      <c r="B65" s="995" t="s">
        <v>416</v>
      </c>
      <c r="C65" s="996"/>
      <c r="D65" s="562"/>
      <c r="E65" s="556"/>
      <c r="F65" s="562"/>
      <c r="G65" s="557"/>
      <c r="H65" s="561"/>
      <c r="I65" s="557"/>
      <c r="J65" s="561"/>
      <c r="O65" s="557"/>
      <c r="P65" s="561"/>
      <c r="Q65" s="568"/>
      <c r="R65" s="561"/>
      <c r="S65" s="146"/>
      <c r="T65" s="557"/>
      <c r="U65" s="561"/>
      <c r="V65" s="568"/>
      <c r="W65" s="561"/>
      <c r="X65" s="146"/>
      <c r="Y65" s="643"/>
      <c r="Z65" s="644"/>
      <c r="AA65" s="568"/>
      <c r="AB65" s="561"/>
      <c r="AC65" s="146"/>
      <c r="AD65" s="557"/>
      <c r="AE65" s="561"/>
      <c r="AF65" s="568"/>
      <c r="AG65" s="561"/>
      <c r="AH65" s="146"/>
      <c r="AI65" s="557"/>
      <c r="AJ65" s="561"/>
      <c r="AK65" s="568"/>
      <c r="AL65" s="561"/>
      <c r="AM65" s="146"/>
      <c r="AN65" s="557"/>
      <c r="AO65" s="561"/>
      <c r="AP65" s="568"/>
      <c r="AQ65" s="561"/>
      <c r="AR65" s="146"/>
      <c r="AS65" s="557"/>
      <c r="AT65" s="561"/>
      <c r="AU65" s="568"/>
      <c r="AV65" s="561"/>
      <c r="AW65" s="146"/>
      <c r="AX65" s="557"/>
      <c r="AY65" s="561"/>
      <c r="AZ65" s="568"/>
      <c r="BA65" s="561"/>
      <c r="BB65" s="146"/>
      <c r="BC65" s="557"/>
      <c r="BD65" s="561"/>
      <c r="BE65" s="568"/>
      <c r="BF65" s="561"/>
      <c r="BG65" s="146"/>
      <c r="BH65" s="557"/>
      <c r="BI65" s="561"/>
      <c r="BJ65" s="557"/>
      <c r="BK65" s="561"/>
      <c r="BL65" s="568"/>
      <c r="BM65" s="561"/>
    </row>
    <row r="66" spans="1:68" ht="24.95" customHeight="1" x14ac:dyDescent="0.25">
      <c r="B66" s="557" t="s">
        <v>8</v>
      </c>
      <c r="C66" s="546" t="s">
        <v>441</v>
      </c>
      <c r="D66" s="561" t="s">
        <v>109</v>
      </c>
      <c r="E66" s="702">
        <f>Nabídka!E58</f>
        <v>37.329000000000001</v>
      </c>
      <c r="F66" s="694">
        <f>Nabídka!F58</f>
        <v>70</v>
      </c>
      <c r="G66" s="734">
        <f>IF(AND(DAY(Postup!$H$24)=1,MONTH(Postup!$H$24)=1),0,E66*Výpočty!$E$17)</f>
        <v>28.022317808219178</v>
      </c>
      <c r="H66" s="649">
        <f>IF(AND(DAY(Postup!$H$24)=1,MONTH(Postup!$H$24)=1),0,F66*Výpočty!$E$17)</f>
        <v>52.547945205479451</v>
      </c>
      <c r="I66" s="708">
        <f>IF(I$16="Neaktivní",0,IF(ISBLANK($J$17),0,IF(AND(DAY(Postup!$H$24)=1,MONTH(Postup!$H$24)=1),E66,G66)))</f>
        <v>0</v>
      </c>
      <c r="J66" s="709">
        <f>IF(I$16="Neaktivní",0,IF(ISBLANK($J$17),0,IF(AND(DAY(Postup!$H$24)=1,MONTH(Postup!$H$24)=1),F66,H66)))</f>
        <v>0</v>
      </c>
      <c r="K66" s="604"/>
      <c r="L66" s="604"/>
      <c r="M66" s="604"/>
      <c r="N66" s="604"/>
      <c r="O66" s="702">
        <f>Nabídka!$E$58</f>
        <v>37.329000000000001</v>
      </c>
      <c r="P66" s="694">
        <f>Nabídka!$F$58</f>
        <v>70</v>
      </c>
      <c r="Q66" s="708">
        <f>IF(Q$16="Neaktivní",0,IF(ISBLANK(R$17),0,O66))</f>
        <v>0</v>
      </c>
      <c r="R66" s="709">
        <f>IF(Q$16="Neaktivní",0,IF(ISBLANK(R$17),0,P66))</f>
        <v>0</v>
      </c>
      <c r="S66" s="606"/>
      <c r="T66" s="702">
        <f>Nabídka!$E$58</f>
        <v>37.329000000000001</v>
      </c>
      <c r="U66" s="694">
        <f>Nabídka!$F$58</f>
        <v>70</v>
      </c>
      <c r="V66" s="708">
        <f>IF(V$16="Neaktivní",0,IF(ISBLANK(W$17),0,T66))</f>
        <v>0</v>
      </c>
      <c r="W66" s="709">
        <f>IF(V$16="Neaktivní",0,IF(ISBLANK(W$17),0,U66))</f>
        <v>0</v>
      </c>
      <c r="X66" s="606"/>
      <c r="Y66" s="778">
        <f>Nabídka!$E$58</f>
        <v>37.329000000000001</v>
      </c>
      <c r="Z66" s="779">
        <f>Nabídka!$F$58</f>
        <v>70</v>
      </c>
      <c r="AA66" s="708">
        <f>IF(AA$16="Neaktivní",0,IF(ISBLANK(AB$17),0,Y66))</f>
        <v>0</v>
      </c>
      <c r="AB66" s="709">
        <f>IF(AA$16="Neaktivní",0,IF(ISBLANK(AB$17),0,Z66))</f>
        <v>0</v>
      </c>
      <c r="AC66" s="606"/>
      <c r="AD66" s="702">
        <f>Nabídka!$E$58</f>
        <v>37.329000000000001</v>
      </c>
      <c r="AE66" s="694">
        <f>Nabídka!$F$58</f>
        <v>70</v>
      </c>
      <c r="AF66" s="708">
        <f>IF(AF$16="Neaktivní",0,IF(ISBLANK(AG$17),0,AD66))</f>
        <v>0</v>
      </c>
      <c r="AG66" s="709">
        <f>IF(AF$16="Neaktivní",0,IF(ISBLANK(AG$17),0,AE66))</f>
        <v>0</v>
      </c>
      <c r="AH66" s="606"/>
      <c r="AI66" s="778">
        <f>Nabídka!$E$58</f>
        <v>37.329000000000001</v>
      </c>
      <c r="AJ66" s="779">
        <f>Nabídka!$F$58</f>
        <v>70</v>
      </c>
      <c r="AK66" s="708">
        <f>IF(AK$16="Neaktivní",0,IF(ISBLANK(AL$17),0,AI66))</f>
        <v>0</v>
      </c>
      <c r="AL66" s="709">
        <f>IF(AK$16="Neaktivní",0,IF(ISBLANK(AL$17),0,AJ66))</f>
        <v>0</v>
      </c>
      <c r="AM66" s="606"/>
      <c r="AN66" s="702">
        <f>Nabídka!$E$58</f>
        <v>37.329000000000001</v>
      </c>
      <c r="AO66" s="694">
        <f>Nabídka!$F$58</f>
        <v>70</v>
      </c>
      <c r="AP66" s="708">
        <f>IF(AP$16="Neaktivní",0,IF(ISBLANK(AQ$17),0,AN66))</f>
        <v>0</v>
      </c>
      <c r="AQ66" s="709">
        <f>IF(AP$16="Neaktivní",0,IF(ISBLANK(AQ$17),0,AO66))</f>
        <v>0</v>
      </c>
      <c r="AR66" s="606"/>
      <c r="AS66" s="778">
        <f>Nabídka!$E$58</f>
        <v>37.329000000000001</v>
      </c>
      <c r="AT66" s="779">
        <f>Nabídka!$F$58</f>
        <v>70</v>
      </c>
      <c r="AU66" s="708">
        <f>IF(AU$16="Neaktivní",0,IF(ISBLANK(AV$17),0,AS66))</f>
        <v>0</v>
      </c>
      <c r="AV66" s="709">
        <f>IF(AU$16="Neaktivní",0,IF(ISBLANK(AV$17),0,AT66))</f>
        <v>0</v>
      </c>
      <c r="AW66" s="606"/>
      <c r="AX66" s="702">
        <f>Nabídka!$E$58</f>
        <v>37.329000000000001</v>
      </c>
      <c r="AY66" s="694">
        <f>Nabídka!$F$58</f>
        <v>70</v>
      </c>
      <c r="AZ66" s="708">
        <f>IF(AZ$16="Neaktivní",0,IF(ISBLANK(BA$17),0,AX66))</f>
        <v>0</v>
      </c>
      <c r="BA66" s="709">
        <f>IF(AZ$16="Neaktivní",0,IF(ISBLANK(BA$17),0,AY66))</f>
        <v>0</v>
      </c>
      <c r="BB66" s="606"/>
      <c r="BC66" s="778">
        <f>Nabídka!$E$58</f>
        <v>37.329000000000001</v>
      </c>
      <c r="BD66" s="779">
        <f>Nabídka!$F$58</f>
        <v>70</v>
      </c>
      <c r="BE66" s="708">
        <f>IF(BE$16="Neaktivní",0,IF(ISBLANK(BF$17),0,BC66))</f>
        <v>0</v>
      </c>
      <c r="BF66" s="709">
        <f>IF(BE$16="Neaktivní",0,IF(ISBLANK(BF$17),0,BD66))</f>
        <v>0</v>
      </c>
      <c r="BG66" s="606"/>
      <c r="BH66" s="702">
        <f>Nabídka!$E$58</f>
        <v>37.329000000000001</v>
      </c>
      <c r="BI66" s="694">
        <f>Nabídka!$F$58</f>
        <v>70</v>
      </c>
      <c r="BJ66" s="708">
        <f>IF(BJ$16="Neaktivní",0,IF(ISBLANK(BK$17),0,BH66))</f>
        <v>0</v>
      </c>
      <c r="BK66" s="709">
        <f>IF(BJ$16="Neaktivní",0,IF(ISBLANK(BK$17),0,BI66))</f>
        <v>0</v>
      </c>
      <c r="BL66" s="605">
        <f>IF(AND(DAY(Postup!$H$25)=31,MONTH(Postup!$H$25)=12),0,INDEX($E66:$BP66,MATCH($BL$57,$E$57:$BP$57,0))*Výpočty!$E$23)</f>
        <v>0</v>
      </c>
      <c r="BM66" s="603">
        <f>IF(AND(DAY(Postup!$H$25)=31,MONTH(Postup!$H$25)=12),0,INDEX($E66:$BP66,MATCH($BM$57,$E$57:$BP$57,0))*Výpočty!$E$23)</f>
        <v>0</v>
      </c>
    </row>
    <row r="67" spans="1:68" x14ac:dyDescent="0.25">
      <c r="B67" s="557" t="s">
        <v>11</v>
      </c>
      <c r="C67" s="546" t="s">
        <v>417</v>
      </c>
      <c r="D67" s="561" t="s">
        <v>418</v>
      </c>
      <c r="E67" s="557">
        <v>4.8999999999999998E-3</v>
      </c>
      <c r="F67" s="561">
        <v>4.8999999999999998E-3</v>
      </c>
      <c r="G67" s="735">
        <v>4.8999999999999998E-3</v>
      </c>
      <c r="H67" s="736">
        <v>4.8999999999999998E-3</v>
      </c>
      <c r="I67" s="557">
        <v>4.8999999999999998E-3</v>
      </c>
      <c r="J67" s="561">
        <v>4.8999999999999998E-3</v>
      </c>
      <c r="O67" s="769">
        <v>4.8999999999999998E-3</v>
      </c>
      <c r="P67" s="770">
        <v>4.8999999999999998E-3</v>
      </c>
      <c r="Q67" s="557">
        <v>4.8999999999999998E-3</v>
      </c>
      <c r="R67" s="561">
        <v>4.8999999999999998E-3</v>
      </c>
      <c r="S67" s="146"/>
      <c r="T67" s="769">
        <v>4.8999999999999998E-3</v>
      </c>
      <c r="U67" s="770">
        <v>4.8999999999999998E-3</v>
      </c>
      <c r="V67" s="557">
        <v>4.8999999999999998E-3</v>
      </c>
      <c r="W67" s="561">
        <v>4.8999999999999998E-3</v>
      </c>
      <c r="X67" s="146"/>
      <c r="Y67" s="769">
        <v>4.8999999999999998E-3</v>
      </c>
      <c r="Z67" s="770">
        <v>4.8999999999999998E-3</v>
      </c>
      <c r="AA67" s="557">
        <v>4.8999999999999998E-3</v>
      </c>
      <c r="AB67" s="561">
        <v>4.8999999999999998E-3</v>
      </c>
      <c r="AC67" s="146"/>
      <c r="AD67" s="769">
        <v>4.8999999999999998E-3</v>
      </c>
      <c r="AE67" s="770">
        <v>4.8999999999999998E-3</v>
      </c>
      <c r="AF67" s="557">
        <v>4.8999999999999998E-3</v>
      </c>
      <c r="AG67" s="561">
        <v>4.8999999999999998E-3</v>
      </c>
      <c r="AH67" s="146"/>
      <c r="AI67" s="769">
        <v>4.8999999999999998E-3</v>
      </c>
      <c r="AJ67" s="770">
        <v>4.8999999999999998E-3</v>
      </c>
      <c r="AK67" s="557">
        <v>4.8999999999999998E-3</v>
      </c>
      <c r="AL67" s="561">
        <v>4.8999999999999998E-3</v>
      </c>
      <c r="AM67" s="146"/>
      <c r="AN67" s="769">
        <v>4.8999999999999998E-3</v>
      </c>
      <c r="AO67" s="770">
        <v>4.8999999999999998E-3</v>
      </c>
      <c r="AP67" s="557">
        <v>4.8999999999999998E-3</v>
      </c>
      <c r="AQ67" s="561">
        <v>4.8999999999999998E-3</v>
      </c>
      <c r="AR67" s="146"/>
      <c r="AS67" s="557">
        <v>4.8999999999999998E-3</v>
      </c>
      <c r="AT67" s="561">
        <v>4.8999999999999998E-3</v>
      </c>
      <c r="AU67" s="557">
        <v>4.8999999999999998E-3</v>
      </c>
      <c r="AV67" s="561">
        <v>4.8999999999999998E-3</v>
      </c>
      <c r="AW67" s="146"/>
      <c r="AX67" s="769">
        <v>4.8999999999999998E-3</v>
      </c>
      <c r="AY67" s="770">
        <v>4.8999999999999998E-3</v>
      </c>
      <c r="AZ67" s="557">
        <v>4.8999999999999998E-3</v>
      </c>
      <c r="BA67" s="561">
        <v>4.8999999999999998E-3</v>
      </c>
      <c r="BB67" s="146"/>
      <c r="BC67" s="769">
        <v>4.8999999999999998E-3</v>
      </c>
      <c r="BD67" s="770">
        <v>4.8999999999999998E-3</v>
      </c>
      <c r="BE67" s="557">
        <v>4.8999999999999998E-3</v>
      </c>
      <c r="BF67" s="561">
        <v>4.8999999999999998E-3</v>
      </c>
      <c r="BG67" s="146"/>
      <c r="BH67" s="769">
        <v>4.8999999999999998E-3</v>
      </c>
      <c r="BI67" s="770">
        <v>4.8999999999999998E-3</v>
      </c>
      <c r="BJ67" s="557">
        <v>4.8999999999999998E-3</v>
      </c>
      <c r="BK67" s="561">
        <v>4.8999999999999998E-3</v>
      </c>
      <c r="BL67" s="557">
        <v>4.8999999999999998E-3</v>
      </c>
      <c r="BM67" s="561">
        <v>4.8999999999999998E-3</v>
      </c>
    </row>
    <row r="68" spans="1:68" x14ac:dyDescent="0.25">
      <c r="B68" s="557" t="s">
        <v>13</v>
      </c>
      <c r="C68" s="546" t="s">
        <v>422</v>
      </c>
      <c r="D68" s="561" t="s">
        <v>109</v>
      </c>
      <c r="E68" s="607">
        <f t="shared" ref="E68:J68" si="32">E66*E67</f>
        <v>0.18291209999999999</v>
      </c>
      <c r="F68" s="134">
        <f t="shared" si="32"/>
        <v>0.34299999999999997</v>
      </c>
      <c r="G68" s="734">
        <f t="shared" si="32"/>
        <v>0.13730935726027396</v>
      </c>
      <c r="H68" s="649">
        <f t="shared" si="32"/>
        <v>0.25748493150684931</v>
      </c>
      <c r="I68" s="605">
        <f t="shared" si="32"/>
        <v>0</v>
      </c>
      <c r="J68" s="603">
        <f t="shared" si="32"/>
        <v>0</v>
      </c>
      <c r="K68" s="604"/>
      <c r="L68" s="604"/>
      <c r="M68" s="604"/>
      <c r="N68" s="604"/>
      <c r="O68" s="607">
        <f>O66*O67</f>
        <v>0.18291209999999999</v>
      </c>
      <c r="P68" s="134">
        <f>P66*P67</f>
        <v>0.34299999999999997</v>
      </c>
      <c r="Q68" s="605">
        <f>Q66*Q67</f>
        <v>0</v>
      </c>
      <c r="R68" s="603">
        <f>R66*R67</f>
        <v>0</v>
      </c>
      <c r="S68" s="606"/>
      <c r="T68" s="607">
        <f>T66*T67</f>
        <v>0.18291209999999999</v>
      </c>
      <c r="U68" s="134">
        <f>U66*U67</f>
        <v>0.34299999999999997</v>
      </c>
      <c r="V68" s="605">
        <f>V66*V67</f>
        <v>0</v>
      </c>
      <c r="W68" s="603">
        <f>W66*W67</f>
        <v>0</v>
      </c>
      <c r="X68" s="606"/>
      <c r="Y68" s="607">
        <f>Y66*Y67</f>
        <v>0.18291209999999999</v>
      </c>
      <c r="Z68" s="134">
        <f>Z66*Z67</f>
        <v>0.34299999999999997</v>
      </c>
      <c r="AA68" s="605">
        <f>AA66*AA67</f>
        <v>0</v>
      </c>
      <c r="AB68" s="603">
        <f>AB66*AB67</f>
        <v>0</v>
      </c>
      <c r="AC68" s="606"/>
      <c r="AD68" s="607">
        <f>AD66*AD67</f>
        <v>0.18291209999999999</v>
      </c>
      <c r="AE68" s="134">
        <f>AE66*AE67</f>
        <v>0.34299999999999997</v>
      </c>
      <c r="AF68" s="605">
        <f>AF66*AF67</f>
        <v>0</v>
      </c>
      <c r="AG68" s="603">
        <f>AG66*AG67</f>
        <v>0</v>
      </c>
      <c r="AH68" s="606"/>
      <c r="AI68" s="607">
        <f>AI66*AI67</f>
        <v>0.18291209999999999</v>
      </c>
      <c r="AJ68" s="134">
        <f>AJ66*AJ67</f>
        <v>0.34299999999999997</v>
      </c>
      <c r="AK68" s="605">
        <f>AK66*AK67</f>
        <v>0</v>
      </c>
      <c r="AL68" s="603">
        <f>AL66*AL67</f>
        <v>0</v>
      </c>
      <c r="AM68" s="606"/>
      <c r="AN68" s="607">
        <f>AN66*AN67</f>
        <v>0.18291209999999999</v>
      </c>
      <c r="AO68" s="134">
        <f>AO66*AO67</f>
        <v>0.34299999999999997</v>
      </c>
      <c r="AP68" s="605">
        <f>AP66*AP67</f>
        <v>0</v>
      </c>
      <c r="AQ68" s="603">
        <f>AQ66*AQ67</f>
        <v>0</v>
      </c>
      <c r="AR68" s="606"/>
      <c r="AS68" s="602">
        <f>AS66*AS67</f>
        <v>0.18291209999999999</v>
      </c>
      <c r="AT68" s="603">
        <f>AT66*AT67</f>
        <v>0.34299999999999997</v>
      </c>
      <c r="AU68" s="605">
        <f>AU66*AU67</f>
        <v>0</v>
      </c>
      <c r="AV68" s="603">
        <f>AV66*AV67</f>
        <v>0</v>
      </c>
      <c r="AW68" s="606"/>
      <c r="AX68" s="607">
        <f>AX66*AX67</f>
        <v>0.18291209999999999</v>
      </c>
      <c r="AY68" s="134">
        <f>AY66*AY67</f>
        <v>0.34299999999999997</v>
      </c>
      <c r="AZ68" s="605">
        <f>AZ66*AZ67</f>
        <v>0</v>
      </c>
      <c r="BA68" s="603">
        <f>BA66*BA67</f>
        <v>0</v>
      </c>
      <c r="BB68" s="606"/>
      <c r="BC68" s="607">
        <f>BC66*BC67</f>
        <v>0.18291209999999999</v>
      </c>
      <c r="BD68" s="134">
        <f>BD66*BD67</f>
        <v>0.34299999999999997</v>
      </c>
      <c r="BE68" s="605">
        <f>BE66*BE67</f>
        <v>0</v>
      </c>
      <c r="BF68" s="603">
        <f>BF66*BF67</f>
        <v>0</v>
      </c>
      <c r="BG68" s="606"/>
      <c r="BH68" s="607">
        <f t="shared" ref="BH68:BM68" si="33">BH66*BH67</f>
        <v>0.18291209999999999</v>
      </c>
      <c r="BI68" s="134">
        <f t="shared" si="33"/>
        <v>0.34299999999999997</v>
      </c>
      <c r="BJ68" s="605">
        <f t="shared" si="33"/>
        <v>0</v>
      </c>
      <c r="BK68" s="603">
        <f t="shared" si="33"/>
        <v>0</v>
      </c>
      <c r="BL68" s="605">
        <f t="shared" si="33"/>
        <v>0</v>
      </c>
      <c r="BM68" s="603">
        <f t="shared" si="33"/>
        <v>0</v>
      </c>
    </row>
    <row r="69" spans="1:68" ht="24" hidden="1" customHeight="1" x14ac:dyDescent="0.25">
      <c r="B69" s="894" t="s">
        <v>419</v>
      </c>
      <c r="C69" s="895"/>
      <c r="D69" s="562"/>
      <c r="E69" s="608"/>
      <c r="F69" s="609"/>
      <c r="G69" s="734"/>
      <c r="H69" s="649"/>
      <c r="I69" s="605"/>
      <c r="J69" s="603"/>
      <c r="K69" s="604"/>
      <c r="L69" s="604"/>
      <c r="M69" s="604"/>
      <c r="N69" s="604"/>
      <c r="O69" s="607"/>
      <c r="P69" s="134"/>
      <c r="Q69" s="605"/>
      <c r="R69" s="603"/>
      <c r="S69" s="606"/>
      <c r="T69" s="607"/>
      <c r="U69" s="134"/>
      <c r="V69" s="605"/>
      <c r="W69" s="603"/>
      <c r="X69" s="606"/>
      <c r="Y69" s="607"/>
      <c r="Z69" s="134"/>
      <c r="AA69" s="605"/>
      <c r="AB69" s="603"/>
      <c r="AC69" s="606"/>
      <c r="AD69" s="607"/>
      <c r="AE69" s="134"/>
      <c r="AF69" s="605"/>
      <c r="AG69" s="603"/>
      <c r="AH69" s="606"/>
      <c r="AI69" s="607"/>
      <c r="AJ69" s="134"/>
      <c r="AK69" s="605"/>
      <c r="AL69" s="603"/>
      <c r="AM69" s="606"/>
      <c r="AN69" s="607"/>
      <c r="AO69" s="134"/>
      <c r="AP69" s="605"/>
      <c r="AQ69" s="603"/>
      <c r="AR69" s="606"/>
      <c r="AS69" s="602"/>
      <c r="AT69" s="603"/>
      <c r="AU69" s="605"/>
      <c r="AV69" s="603"/>
      <c r="AW69" s="606"/>
      <c r="AX69" s="607"/>
      <c r="AY69" s="134"/>
      <c r="AZ69" s="605"/>
      <c r="BA69" s="603"/>
      <c r="BB69" s="606"/>
      <c r="BC69" s="607"/>
      <c r="BD69" s="134"/>
      <c r="BE69" s="605"/>
      <c r="BF69" s="603"/>
      <c r="BG69" s="606"/>
      <c r="BH69" s="607"/>
      <c r="BI69" s="134"/>
      <c r="BJ69" s="602"/>
      <c r="BK69" s="603"/>
      <c r="BL69" s="605"/>
      <c r="BM69" s="603"/>
    </row>
    <row r="70" spans="1:68" hidden="1" x14ac:dyDescent="0.25">
      <c r="B70" s="558" t="s">
        <v>25</v>
      </c>
      <c r="C70" s="548" t="s">
        <v>420</v>
      </c>
      <c r="D70" s="563" t="s">
        <v>109</v>
      </c>
      <c r="E70" s="610">
        <v>0</v>
      </c>
      <c r="F70" s="611">
        <v>0</v>
      </c>
      <c r="G70" s="734">
        <v>0</v>
      </c>
      <c r="H70" s="649">
        <v>0</v>
      </c>
      <c r="I70" s="605">
        <v>0</v>
      </c>
      <c r="J70" s="603">
        <v>0</v>
      </c>
      <c r="K70" s="604"/>
      <c r="L70" s="604"/>
      <c r="M70" s="604"/>
      <c r="N70" s="604"/>
      <c r="O70" s="607"/>
      <c r="P70" s="134"/>
      <c r="Q70" s="605"/>
      <c r="R70" s="603"/>
      <c r="S70" s="606"/>
      <c r="T70" s="607"/>
      <c r="U70" s="134"/>
      <c r="V70" s="605"/>
      <c r="W70" s="603"/>
      <c r="X70" s="606"/>
      <c r="Y70" s="607"/>
      <c r="Z70" s="134"/>
      <c r="AA70" s="605"/>
      <c r="AB70" s="603"/>
      <c r="AC70" s="606"/>
      <c r="AD70" s="607"/>
      <c r="AE70" s="134"/>
      <c r="AF70" s="605"/>
      <c r="AG70" s="603"/>
      <c r="AH70" s="606"/>
      <c r="AI70" s="607"/>
      <c r="AJ70" s="134"/>
      <c r="AK70" s="605"/>
      <c r="AL70" s="603"/>
      <c r="AM70" s="606"/>
      <c r="AN70" s="607"/>
      <c r="AO70" s="134"/>
      <c r="AP70" s="605"/>
      <c r="AQ70" s="603"/>
      <c r="AR70" s="606"/>
      <c r="AS70" s="602"/>
      <c r="AT70" s="603"/>
      <c r="AU70" s="605"/>
      <c r="AV70" s="603"/>
      <c r="AW70" s="606"/>
      <c r="AX70" s="607"/>
      <c r="AY70" s="134"/>
      <c r="AZ70" s="605"/>
      <c r="BA70" s="603"/>
      <c r="BB70" s="606"/>
      <c r="BC70" s="607"/>
      <c r="BD70" s="134"/>
      <c r="BE70" s="605"/>
      <c r="BF70" s="603"/>
      <c r="BG70" s="606"/>
      <c r="BH70" s="607"/>
      <c r="BI70" s="134"/>
      <c r="BJ70" s="602"/>
      <c r="BK70" s="603"/>
      <c r="BL70" s="605"/>
      <c r="BM70" s="603"/>
    </row>
    <row r="71" spans="1:68" hidden="1" x14ac:dyDescent="0.25">
      <c r="B71" s="558" t="s">
        <v>28</v>
      </c>
      <c r="C71" s="548" t="s">
        <v>421</v>
      </c>
      <c r="D71" s="563" t="s">
        <v>109</v>
      </c>
      <c r="E71" s="610">
        <v>0</v>
      </c>
      <c r="F71" s="611">
        <v>0</v>
      </c>
      <c r="G71" s="734">
        <v>0</v>
      </c>
      <c r="H71" s="649">
        <v>0</v>
      </c>
      <c r="I71" s="605">
        <v>0</v>
      </c>
      <c r="J71" s="603">
        <v>0</v>
      </c>
      <c r="K71" s="604"/>
      <c r="L71" s="604"/>
      <c r="M71" s="604"/>
      <c r="N71" s="604"/>
      <c r="O71" s="607"/>
      <c r="P71" s="134"/>
      <c r="Q71" s="605"/>
      <c r="R71" s="603"/>
      <c r="S71" s="606"/>
      <c r="T71" s="607"/>
      <c r="U71" s="134"/>
      <c r="V71" s="605"/>
      <c r="W71" s="603"/>
      <c r="X71" s="606"/>
      <c r="Y71" s="607"/>
      <c r="Z71" s="134"/>
      <c r="AA71" s="605"/>
      <c r="AB71" s="603"/>
      <c r="AC71" s="606"/>
      <c r="AD71" s="607"/>
      <c r="AE71" s="134"/>
      <c r="AF71" s="605"/>
      <c r="AG71" s="603"/>
      <c r="AH71" s="606"/>
      <c r="AI71" s="607"/>
      <c r="AJ71" s="134"/>
      <c r="AK71" s="605"/>
      <c r="AL71" s="603"/>
      <c r="AM71" s="606"/>
      <c r="AN71" s="607"/>
      <c r="AO71" s="134"/>
      <c r="AP71" s="605"/>
      <c r="AQ71" s="603"/>
      <c r="AR71" s="606"/>
      <c r="AS71" s="602"/>
      <c r="AT71" s="603"/>
      <c r="AU71" s="605"/>
      <c r="AV71" s="603"/>
      <c r="AW71" s="606"/>
      <c r="AX71" s="607"/>
      <c r="AY71" s="134"/>
      <c r="AZ71" s="605"/>
      <c r="BA71" s="603"/>
      <c r="BB71" s="606"/>
      <c r="BC71" s="607"/>
      <c r="BD71" s="134"/>
      <c r="BE71" s="605"/>
      <c r="BF71" s="603"/>
      <c r="BG71" s="606"/>
      <c r="BH71" s="607"/>
      <c r="BI71" s="134"/>
      <c r="BJ71" s="602"/>
      <c r="BK71" s="603"/>
      <c r="BL71" s="605"/>
      <c r="BM71" s="603"/>
    </row>
    <row r="72" spans="1:68" hidden="1" x14ac:dyDescent="0.25">
      <c r="B72" s="558" t="s">
        <v>424</v>
      </c>
      <c r="C72" s="548"/>
      <c r="D72" s="563" t="s">
        <v>109</v>
      </c>
      <c r="E72" s="610">
        <v>0</v>
      </c>
      <c r="F72" s="611">
        <v>0</v>
      </c>
      <c r="G72" s="734">
        <v>0</v>
      </c>
      <c r="H72" s="649">
        <v>0</v>
      </c>
      <c r="I72" s="605">
        <v>0</v>
      </c>
      <c r="J72" s="603">
        <v>0</v>
      </c>
      <c r="K72" s="604"/>
      <c r="L72" s="604"/>
      <c r="M72" s="604"/>
      <c r="N72" s="604"/>
      <c r="O72" s="607"/>
      <c r="P72" s="134"/>
      <c r="Q72" s="605"/>
      <c r="R72" s="603"/>
      <c r="S72" s="606"/>
      <c r="T72" s="607"/>
      <c r="U72" s="134"/>
      <c r="V72" s="605"/>
      <c r="W72" s="603"/>
      <c r="X72" s="606"/>
      <c r="Y72" s="607"/>
      <c r="Z72" s="134"/>
      <c r="AA72" s="605"/>
      <c r="AB72" s="603"/>
      <c r="AC72" s="606"/>
      <c r="AD72" s="607"/>
      <c r="AE72" s="134"/>
      <c r="AF72" s="605"/>
      <c r="AG72" s="603"/>
      <c r="AH72" s="606"/>
      <c r="AI72" s="607"/>
      <c r="AJ72" s="134"/>
      <c r="AK72" s="605"/>
      <c r="AL72" s="603"/>
      <c r="AM72" s="606"/>
      <c r="AN72" s="607"/>
      <c r="AO72" s="134"/>
      <c r="AP72" s="605"/>
      <c r="AQ72" s="603"/>
      <c r="AR72" s="606"/>
      <c r="AS72" s="602"/>
      <c r="AT72" s="603"/>
      <c r="AU72" s="605"/>
      <c r="AV72" s="603"/>
      <c r="AW72" s="606"/>
      <c r="AX72" s="607"/>
      <c r="AY72" s="134"/>
      <c r="AZ72" s="605"/>
      <c r="BA72" s="603"/>
      <c r="BB72" s="606"/>
      <c r="BC72" s="607"/>
      <c r="BD72" s="134"/>
      <c r="BE72" s="605"/>
      <c r="BF72" s="603"/>
      <c r="BG72" s="606"/>
      <c r="BH72" s="607"/>
      <c r="BI72" s="134"/>
      <c r="BJ72" s="602"/>
      <c r="BK72" s="603"/>
      <c r="BL72" s="605"/>
      <c r="BM72" s="603"/>
    </row>
    <row r="73" spans="1:68" s="572" customFormat="1" x14ac:dyDescent="0.25">
      <c r="B73" s="885" t="s">
        <v>450</v>
      </c>
      <c r="C73" s="886"/>
      <c r="D73" s="574" t="s">
        <v>425</v>
      </c>
      <c r="E73" s="703">
        <f>Nabídka!E66</f>
        <v>0.13120999999999999</v>
      </c>
      <c r="F73" s="696">
        <f>Nabídka!F66</f>
        <v>0.29154600000000003</v>
      </c>
      <c r="G73" s="737">
        <f>IF(AND(DAY(Postup!$H$24)=1,MONTH(Postup!$H$24)=1),0,Nabídka!E66)</f>
        <v>0.13120999999999999</v>
      </c>
      <c r="H73" s="738">
        <f>IF(AND(DAY(Postup!$H$24)=1,MONTH(Postup!$H$24)=1),0,Nabídka!F66)</f>
        <v>0.29154600000000003</v>
      </c>
      <c r="I73" s="748">
        <f>IF(I$16="Neaktivní",0,IF(ISBLANK(J$17),0,Nabídka!$E$66))</f>
        <v>0</v>
      </c>
      <c r="J73" s="696">
        <f>IF(J$16="Neaktivní",0,IF(ISBLANK(J$17),0,Nabídka!$F$66))</f>
        <v>0</v>
      </c>
      <c r="O73" s="776">
        <f>Nabídka!$E$66</f>
        <v>0.13120999999999999</v>
      </c>
      <c r="P73" s="777">
        <f>Nabídka!$F$66</f>
        <v>0.29154600000000003</v>
      </c>
      <c r="Q73" s="748">
        <f>IF(Q$16="Neaktivní",0,IF(ISBLANK(R$17),0,Nabídka!$E$66))</f>
        <v>0</v>
      </c>
      <c r="R73" s="696">
        <f>IF(Q$16="Neaktivní",0,IF(ISBLANK(R$17),0,Nabídka!$F$66))</f>
        <v>0</v>
      </c>
      <c r="S73" s="576"/>
      <c r="T73" s="776">
        <f>Nabídka!$E$66</f>
        <v>0.13120999999999999</v>
      </c>
      <c r="U73" s="777">
        <f>Nabídka!$F$66</f>
        <v>0.29154600000000003</v>
      </c>
      <c r="V73" s="748">
        <f>IF(V$16="Neaktivní",0,IF(ISBLANK(W$17),0,Nabídka!$E$66))</f>
        <v>0</v>
      </c>
      <c r="W73" s="696">
        <f>IF(V$16="Neaktivní",0,IF(ISBLANK(W$17),0,Nabídka!$F$66))</f>
        <v>0</v>
      </c>
      <c r="X73" s="576"/>
      <c r="Y73" s="703">
        <f>Nabídka!$E$66</f>
        <v>0.13120999999999999</v>
      </c>
      <c r="Z73" s="696">
        <f>Nabídka!$F$66</f>
        <v>0.29154600000000003</v>
      </c>
      <c r="AA73" s="748">
        <f>IF(AA$16="Neaktivní",0,IF(ISBLANK(AB$17),0,Nabídka!$E$66))</f>
        <v>0</v>
      </c>
      <c r="AB73" s="696">
        <f>IF(AA$16="Neaktivní",0,IF(ISBLANK(AB$17),0,Nabídka!$F$66))</f>
        <v>0</v>
      </c>
      <c r="AC73" s="576"/>
      <c r="AD73" s="776">
        <f>Nabídka!$E$66</f>
        <v>0.13120999999999999</v>
      </c>
      <c r="AE73" s="777">
        <f>Nabídka!$F$66</f>
        <v>0.29154600000000003</v>
      </c>
      <c r="AF73" s="748">
        <f>IF(AF$16="Neaktivní",0,IF(ISBLANK(AG$17),0,Nabídka!$E$66))</f>
        <v>0</v>
      </c>
      <c r="AG73" s="696">
        <f>IF(AF$16="Neaktivní",0,IF(ISBLANK(AG$17),0,Nabídka!$F$66))</f>
        <v>0</v>
      </c>
      <c r="AH73" s="576"/>
      <c r="AI73" s="703">
        <f>Nabídka!$E$66</f>
        <v>0.13120999999999999</v>
      </c>
      <c r="AJ73" s="696">
        <f>Nabídka!$F$66</f>
        <v>0.29154600000000003</v>
      </c>
      <c r="AK73" s="748">
        <f>IF(AK$16="Neaktivní",0,IF(ISBLANK(AL$17),0,Nabídka!$E$66))</f>
        <v>0</v>
      </c>
      <c r="AL73" s="696">
        <f>IF(AK$16="Neaktivní",0,IF(ISBLANK(AL$17),0,Nabídka!$F$66))</f>
        <v>0</v>
      </c>
      <c r="AM73" s="576"/>
      <c r="AN73" s="776">
        <f>Nabídka!$E$66</f>
        <v>0.13120999999999999</v>
      </c>
      <c r="AO73" s="777">
        <f>Nabídka!$F$66</f>
        <v>0.29154600000000003</v>
      </c>
      <c r="AP73" s="748">
        <f>IF(AP$16="Neaktivní",0,IF(ISBLANK(AQ$17),0,Nabídka!$E$66))</f>
        <v>0</v>
      </c>
      <c r="AQ73" s="696">
        <f>IF(AP$16="Neaktivní",0,IF(ISBLANK(AQ$17),0,Nabídka!$F$66))</f>
        <v>0</v>
      </c>
      <c r="AR73" s="576"/>
      <c r="AS73" s="703">
        <f>Nabídka!$E$66</f>
        <v>0.13120999999999999</v>
      </c>
      <c r="AT73" s="696">
        <f>Nabídka!$F$66</f>
        <v>0.29154600000000003</v>
      </c>
      <c r="AU73" s="748">
        <f>IF(AU$16="Neaktivní",0,IF(ISBLANK(AV$17),0,Nabídka!$E$66))</f>
        <v>0</v>
      </c>
      <c r="AV73" s="696">
        <f>IF(AU$16="Neaktivní",0,IF(ISBLANK(AV$17),0,Nabídka!$F$66))</f>
        <v>0</v>
      </c>
      <c r="AW73" s="576"/>
      <c r="AX73" s="776">
        <f>Nabídka!$E$66</f>
        <v>0.13120999999999999</v>
      </c>
      <c r="AY73" s="777">
        <f>Nabídka!$F$66</f>
        <v>0.29154600000000003</v>
      </c>
      <c r="AZ73" s="748">
        <f>IF(AZ$16="Neaktivní",0,IF(ISBLANK(BA$17),0,Nabídka!$E$66))</f>
        <v>0</v>
      </c>
      <c r="BA73" s="696">
        <f>IF(AZ$16="Neaktivní",0,IF(ISBLANK(BA$17),0,Nabídka!$F$66))</f>
        <v>0</v>
      </c>
      <c r="BB73" s="576"/>
      <c r="BC73" s="703">
        <f>Nabídka!$E$66</f>
        <v>0.13120999999999999</v>
      </c>
      <c r="BD73" s="696">
        <f>Nabídka!$F$66</f>
        <v>0.29154600000000003</v>
      </c>
      <c r="BE73" s="748">
        <f>IF(BE$16="Neaktivní",0,IF(ISBLANK(BF$17),0,Nabídka!$E$66))</f>
        <v>0</v>
      </c>
      <c r="BF73" s="696">
        <f>IF(BE$16="Neaktivní",0,IF(ISBLANK(BF$17),0,Nabídka!$F$66))</f>
        <v>0</v>
      </c>
      <c r="BG73" s="576"/>
      <c r="BH73" s="776">
        <f>Nabídka!$E$66</f>
        <v>0.13120999999999999</v>
      </c>
      <c r="BI73" s="777">
        <f>Nabídka!$F$66</f>
        <v>0.29154600000000003</v>
      </c>
      <c r="BJ73" s="748">
        <f>IF(BJ$16="Neaktivní",0,IF(ISBLANK(BK$17),0,Nabídka!$E$66))</f>
        <v>0</v>
      </c>
      <c r="BK73" s="696">
        <f>IF(BJ$16="Neaktivní",0,IF(ISBLANK(BK$17),0,Nabídka!$F$66))</f>
        <v>0</v>
      </c>
      <c r="BL73" s="575">
        <f>IF(AND(DAY(Postup!$H$25)=31,MONTH(Postup!$H$25)=12),0,Nabídka!E66)</f>
        <v>0</v>
      </c>
      <c r="BM73" s="574">
        <f>IF(AND(DAY(Postup!$H$25)=31,MONTH(Postup!$H$25)=12),0,Nabídka!F66)</f>
        <v>0</v>
      </c>
    </row>
    <row r="74" spans="1:68" ht="15.75" thickBot="1" x14ac:dyDescent="0.3">
      <c r="B74" s="559" t="s">
        <v>451</v>
      </c>
      <c r="C74" s="560"/>
      <c r="D74" s="564" t="s">
        <v>109</v>
      </c>
      <c r="E74" s="612">
        <f t="shared" ref="E74:J74" si="34">E68*E73</f>
        <v>2.3999896640999999E-2</v>
      </c>
      <c r="F74" s="613">
        <f t="shared" si="34"/>
        <v>0.100000278</v>
      </c>
      <c r="G74" s="739">
        <f t="shared" si="34"/>
        <v>1.8016360766120544E-2</v>
      </c>
      <c r="H74" s="740">
        <f t="shared" si="34"/>
        <v>7.5068701841095903E-2</v>
      </c>
      <c r="I74" s="615">
        <f t="shared" si="34"/>
        <v>0</v>
      </c>
      <c r="J74" s="613">
        <f t="shared" si="34"/>
        <v>0</v>
      </c>
      <c r="K74" s="604"/>
      <c r="L74" s="604"/>
      <c r="M74" s="604"/>
      <c r="N74" s="604"/>
      <c r="O74" s="614">
        <f>O68*O73</f>
        <v>2.3999896640999999E-2</v>
      </c>
      <c r="P74" s="613">
        <f>P68*P73</f>
        <v>0.100000278</v>
      </c>
      <c r="Q74" s="615">
        <f>Q68*Q73</f>
        <v>0</v>
      </c>
      <c r="R74" s="613">
        <f>R68*R73</f>
        <v>0</v>
      </c>
      <c r="S74" s="606"/>
      <c r="T74" s="614">
        <f t="shared" ref="T74:W74" si="35">T68*T73</f>
        <v>2.3999896640999999E-2</v>
      </c>
      <c r="U74" s="613">
        <f t="shared" si="35"/>
        <v>0.100000278</v>
      </c>
      <c r="V74" s="615">
        <f t="shared" si="35"/>
        <v>0</v>
      </c>
      <c r="W74" s="613">
        <f t="shared" si="35"/>
        <v>0</v>
      </c>
      <c r="X74" s="606"/>
      <c r="Y74" s="614">
        <f t="shared" ref="Y74" si="36">Y68*Y73</f>
        <v>2.3999896640999999E-2</v>
      </c>
      <c r="Z74" s="613">
        <f t="shared" ref="Z74" si="37">Z68*Z73</f>
        <v>0.100000278</v>
      </c>
      <c r="AA74" s="615">
        <f t="shared" ref="AA74" si="38">AA68*AA73</f>
        <v>0</v>
      </c>
      <c r="AB74" s="613">
        <f t="shared" ref="AB74" si="39">AB68*AB73</f>
        <v>0</v>
      </c>
      <c r="AC74" s="606"/>
      <c r="AD74" s="614">
        <f t="shared" ref="AD74" si="40">AD68*AD73</f>
        <v>2.3999896640999999E-2</v>
      </c>
      <c r="AE74" s="613">
        <f t="shared" ref="AE74" si="41">AE68*AE73</f>
        <v>0.100000278</v>
      </c>
      <c r="AF74" s="615">
        <f t="shared" ref="AF74" si="42">AF68*AF73</f>
        <v>0</v>
      </c>
      <c r="AG74" s="613">
        <f t="shared" ref="AG74" si="43">AG68*AG73</f>
        <v>0</v>
      </c>
      <c r="AH74" s="606"/>
      <c r="AI74" s="612">
        <f t="shared" ref="AI74" si="44">AI68*AI73</f>
        <v>2.3999896640999999E-2</v>
      </c>
      <c r="AJ74" s="771">
        <f t="shared" ref="AJ74" si="45">AJ68*AJ73</f>
        <v>0.100000278</v>
      </c>
      <c r="AK74" s="615">
        <f t="shared" ref="AK74" si="46">AK68*AK73</f>
        <v>0</v>
      </c>
      <c r="AL74" s="613">
        <f t="shared" ref="AL74" si="47">AL68*AL73</f>
        <v>0</v>
      </c>
      <c r="AM74" s="606"/>
      <c r="AN74" s="614">
        <f t="shared" ref="AN74" si="48">AN68*AN73</f>
        <v>2.3999896640999999E-2</v>
      </c>
      <c r="AO74" s="613">
        <f t="shared" ref="AO74" si="49">AO68*AO73</f>
        <v>0.100000278</v>
      </c>
      <c r="AP74" s="615">
        <f t="shared" ref="AP74" si="50">AP68*AP73</f>
        <v>0</v>
      </c>
      <c r="AQ74" s="613">
        <f t="shared" ref="AQ74" si="51">AQ68*AQ73</f>
        <v>0</v>
      </c>
      <c r="AR74" s="606"/>
      <c r="AS74" s="614">
        <f t="shared" ref="AS74" si="52">AS68*AS73</f>
        <v>2.3999896640999999E-2</v>
      </c>
      <c r="AT74" s="613">
        <f t="shared" ref="AT74" si="53">AT68*AT73</f>
        <v>0.100000278</v>
      </c>
      <c r="AU74" s="615">
        <f t="shared" ref="AU74" si="54">AU68*AU73</f>
        <v>0</v>
      </c>
      <c r="AV74" s="613">
        <f t="shared" ref="AV74" si="55">AV68*AV73</f>
        <v>0</v>
      </c>
      <c r="AW74" s="606"/>
      <c r="AX74" s="614">
        <f t="shared" ref="AX74" si="56">AX68*AX73</f>
        <v>2.3999896640999999E-2</v>
      </c>
      <c r="AY74" s="613">
        <f t="shared" ref="AY74" si="57">AY68*AY73</f>
        <v>0.100000278</v>
      </c>
      <c r="AZ74" s="615">
        <f t="shared" ref="AZ74" si="58">AZ68*AZ73</f>
        <v>0</v>
      </c>
      <c r="BA74" s="613">
        <f t="shared" ref="BA74" si="59">BA68*BA73</f>
        <v>0</v>
      </c>
      <c r="BB74" s="606"/>
      <c r="BC74" s="614">
        <f t="shared" ref="BC74" si="60">BC68*BC73</f>
        <v>2.3999896640999999E-2</v>
      </c>
      <c r="BD74" s="613">
        <f t="shared" ref="BD74" si="61">BD68*BD73</f>
        <v>0.100000278</v>
      </c>
      <c r="BE74" s="615">
        <f t="shared" ref="BE74" si="62">BE68*BE73</f>
        <v>0</v>
      </c>
      <c r="BF74" s="613">
        <f t="shared" ref="BF74" si="63">BF68*BF73</f>
        <v>0</v>
      </c>
      <c r="BG74" s="606"/>
      <c r="BH74" s="614">
        <f t="shared" ref="BH74" si="64">BH68*BH73</f>
        <v>2.3999896640999999E-2</v>
      </c>
      <c r="BI74" s="613">
        <f t="shared" ref="BI74" si="65">BI68*BI73</f>
        <v>0.100000278</v>
      </c>
      <c r="BJ74" s="615">
        <f t="shared" ref="BJ74" si="66">BJ68*BJ73</f>
        <v>0</v>
      </c>
      <c r="BK74" s="613">
        <f t="shared" ref="BK74" si="67">BK68*BK73</f>
        <v>0</v>
      </c>
      <c r="BL74" s="615">
        <f t="shared" ref="BL74" si="68">BL68*BL73</f>
        <v>0</v>
      </c>
      <c r="BM74" s="613">
        <f t="shared" ref="BM74" si="69">BM68*BM73</f>
        <v>0</v>
      </c>
    </row>
    <row r="75" spans="1:68" x14ac:dyDescent="0.25">
      <c r="B75" s="146" t="s">
        <v>452</v>
      </c>
    </row>
    <row r="76" spans="1:68" x14ac:dyDescent="0.25"/>
    <row r="77" spans="1:68" x14ac:dyDescent="0.25">
      <c r="A77" s="97"/>
      <c r="B77" s="97"/>
      <c r="C77" s="97"/>
      <c r="D77" s="97"/>
      <c r="E77" s="97"/>
      <c r="F77" s="97"/>
      <c r="G77" s="97"/>
      <c r="H77" s="97"/>
      <c r="I77" s="97"/>
      <c r="J77" s="97"/>
      <c r="K77" s="97"/>
      <c r="L77" s="97"/>
      <c r="M77" s="97"/>
      <c r="N77" s="98"/>
      <c r="O77" s="380" t="s">
        <v>440</v>
      </c>
      <c r="P77" s="380"/>
      <c r="Q77" s="381"/>
      <c r="R77" s="381"/>
      <c r="S77" s="381"/>
      <c r="T77" s="380" t="s">
        <v>440</v>
      </c>
      <c r="U77" s="145"/>
      <c r="V77" s="145"/>
      <c r="W77" s="145"/>
      <c r="X77" s="145"/>
      <c r="Y77" s="380" t="s">
        <v>440</v>
      </c>
      <c r="Z77" s="145"/>
      <c r="AA77" s="145"/>
      <c r="AB77" s="145"/>
      <c r="AC77" s="145"/>
      <c r="AD77" s="380" t="s">
        <v>440</v>
      </c>
      <c r="AE77" s="145"/>
      <c r="AF77" s="145"/>
      <c r="AG77" s="145"/>
      <c r="AH77" s="145"/>
      <c r="AI77" s="380" t="s">
        <v>440</v>
      </c>
      <c r="AN77" s="380" t="s">
        <v>440</v>
      </c>
      <c r="AS77" s="380" t="s">
        <v>440</v>
      </c>
      <c r="AX77" s="380" t="s">
        <v>440</v>
      </c>
      <c r="BC77" s="380" t="s">
        <v>440</v>
      </c>
      <c r="BH77" s="380" t="s">
        <v>440</v>
      </c>
      <c r="BN77" s="252"/>
      <c r="BO77" s="252"/>
      <c r="BP77" s="252"/>
    </row>
    <row r="78" spans="1:68" ht="15.75" thickBot="1" x14ac:dyDescent="0.3">
      <c r="A78" s="195"/>
      <c r="B78" s="271" t="s">
        <v>268</v>
      </c>
      <c r="C78" s="145"/>
      <c r="D78" s="145"/>
      <c r="E78" s="145"/>
      <c r="F78" s="145"/>
      <c r="G78" s="96"/>
      <c r="H78" s="96"/>
      <c r="K78" s="97"/>
      <c r="L78" s="97"/>
      <c r="M78" s="97"/>
      <c r="N78" s="98"/>
      <c r="O78" s="380" t="s">
        <v>258</v>
      </c>
      <c r="P78" s="380"/>
      <c r="Q78" s="381"/>
      <c r="R78" s="381"/>
      <c r="S78" s="381"/>
      <c r="T78" s="380" t="s">
        <v>258</v>
      </c>
      <c r="U78" s="145"/>
      <c r="V78" s="145"/>
      <c r="W78" s="145"/>
      <c r="X78" s="145"/>
      <c r="Y78" s="380" t="s">
        <v>258</v>
      </c>
      <c r="Z78" s="145"/>
      <c r="AA78" s="145"/>
      <c r="AB78" s="145"/>
      <c r="AC78" s="145"/>
      <c r="AD78" s="380" t="s">
        <v>258</v>
      </c>
      <c r="AE78" s="145"/>
      <c r="AF78" s="145"/>
      <c r="AG78" s="145"/>
      <c r="AH78" s="145"/>
      <c r="AI78" s="380" t="s">
        <v>258</v>
      </c>
      <c r="AN78" s="380" t="s">
        <v>258</v>
      </c>
      <c r="AS78" s="380" t="s">
        <v>258</v>
      </c>
      <c r="AX78" s="380" t="s">
        <v>258</v>
      </c>
      <c r="BC78" s="380" t="s">
        <v>258</v>
      </c>
      <c r="BH78" s="380" t="s">
        <v>258</v>
      </c>
      <c r="BN78" s="252"/>
      <c r="BO78" s="252"/>
      <c r="BP78" s="252"/>
    </row>
    <row r="79" spans="1:68" ht="24.75" customHeight="1" x14ac:dyDescent="0.25">
      <c r="A79" s="195"/>
      <c r="B79" s="145"/>
      <c r="C79" s="49"/>
      <c r="D79" s="501"/>
      <c r="E79" s="1012">
        <f>E18</f>
        <v>2024</v>
      </c>
      <c r="F79" s="1013"/>
      <c r="G79" s="1014" t="s">
        <v>166</v>
      </c>
      <c r="H79" s="1015"/>
      <c r="I79" s="924" t="str">
        <f>CONCATENATE("Aktualizace ",E79)</f>
        <v>Aktualizace 2024</v>
      </c>
      <c r="J79" s="925"/>
      <c r="K79" s="501"/>
      <c r="L79" s="501"/>
      <c r="O79" s="1012">
        <f>O18</f>
        <v>2025</v>
      </c>
      <c r="P79" s="1013"/>
      <c r="Q79" s="924" t="str">
        <f>CONCATENATE("Aktualizace ",O79)</f>
        <v>Aktualizace 2025</v>
      </c>
      <c r="R79" s="925"/>
      <c r="S79" s="145"/>
      <c r="T79" s="1012">
        <f>T18</f>
        <v>2026</v>
      </c>
      <c r="U79" s="1013"/>
      <c r="V79" s="924" t="str">
        <f>CONCATENATE("Aktualizace ",T79)</f>
        <v>Aktualizace 2026</v>
      </c>
      <c r="W79" s="925"/>
      <c r="X79" s="145"/>
      <c r="Y79" s="1012">
        <f>Y18</f>
        <v>2027</v>
      </c>
      <c r="Z79" s="1013"/>
      <c r="AA79" s="924" t="str">
        <f>CONCATENATE("Aktualizace ",Y79)</f>
        <v>Aktualizace 2027</v>
      </c>
      <c r="AB79" s="925"/>
      <c r="AC79" s="145"/>
      <c r="AD79" s="1012">
        <f>AD18</f>
        <v>2028</v>
      </c>
      <c r="AE79" s="1013"/>
      <c r="AF79" s="924" t="str">
        <f>CONCATENATE("Aktualizace ",AD79)</f>
        <v>Aktualizace 2028</v>
      </c>
      <c r="AG79" s="925"/>
      <c r="AH79" s="145"/>
      <c r="AI79" s="1012">
        <f>AI18</f>
        <v>2029</v>
      </c>
      <c r="AJ79" s="1013"/>
      <c r="AK79" s="924" t="str">
        <f>CONCATENATE("Aktualizace ",AI79)</f>
        <v>Aktualizace 2029</v>
      </c>
      <c r="AL79" s="925"/>
      <c r="AM79" s="145"/>
      <c r="AN79" s="1012">
        <f>AN18</f>
        <v>2030</v>
      </c>
      <c r="AO79" s="1013"/>
      <c r="AP79" s="924" t="str">
        <f>CONCATENATE("Aktualizace ",AN79)</f>
        <v>Aktualizace 2030</v>
      </c>
      <c r="AQ79" s="925"/>
      <c r="AR79" s="145"/>
      <c r="AS79" s="1012">
        <f>AS18</f>
        <v>2031</v>
      </c>
      <c r="AT79" s="1013"/>
      <c r="AU79" s="924" t="str">
        <f>CONCATENATE("Aktualizace ",AS79)</f>
        <v>Aktualizace 2031</v>
      </c>
      <c r="AV79" s="925"/>
      <c r="AW79" s="145"/>
      <c r="AX79" s="1012">
        <f>AX18</f>
        <v>2032</v>
      </c>
      <c r="AY79" s="1013"/>
      <c r="AZ79" s="924" t="str">
        <f>CONCATENATE("Aktualizace ",AX79)</f>
        <v>Aktualizace 2032</v>
      </c>
      <c r="BA79" s="925"/>
      <c r="BB79" s="145"/>
      <c r="BC79" s="1012">
        <f>BC18</f>
        <v>2033</v>
      </c>
      <c r="BD79" s="1013"/>
      <c r="BE79" s="924" t="str">
        <f>CONCATENATE("Aktualizace ",BC79)</f>
        <v>Aktualizace 2033</v>
      </c>
      <c r="BF79" s="925"/>
      <c r="BG79" s="145"/>
      <c r="BH79" s="1012">
        <f>BH18</f>
        <v>2034</v>
      </c>
      <c r="BI79" s="1013"/>
      <c r="BJ79" s="924" t="str">
        <f>CONCATENATE("Aktualizace ",BH79)</f>
        <v>Aktualizace 2034</v>
      </c>
      <c r="BK79" s="1016"/>
      <c r="BL79" s="1014" t="s">
        <v>191</v>
      </c>
      <c r="BM79" s="1015"/>
      <c r="BN79" s="326"/>
      <c r="BO79" s="328"/>
      <c r="BP79" s="328"/>
    </row>
    <row r="80" spans="1:68" x14ac:dyDescent="0.25">
      <c r="A80" s="195"/>
      <c r="B80" s="961" t="s">
        <v>5</v>
      </c>
      <c r="C80" s="961" t="s">
        <v>71</v>
      </c>
      <c r="D80" s="1037" t="s">
        <v>165</v>
      </c>
      <c r="E80" s="100" t="s">
        <v>3</v>
      </c>
      <c r="F80" s="101" t="s">
        <v>4</v>
      </c>
      <c r="G80" s="100" t="s">
        <v>3</v>
      </c>
      <c r="H80" s="101" t="s">
        <v>4</v>
      </c>
      <c r="I80" s="100" t="s">
        <v>3</v>
      </c>
      <c r="J80" s="101" t="s">
        <v>4</v>
      </c>
      <c r="K80" s="1050" t="s">
        <v>102</v>
      </c>
      <c r="L80" s="1051"/>
      <c r="O80" s="100" t="s">
        <v>3</v>
      </c>
      <c r="P80" s="101" t="s">
        <v>4</v>
      </c>
      <c r="Q80" s="100" t="s">
        <v>3</v>
      </c>
      <c r="R80" s="101" t="s">
        <v>4</v>
      </c>
      <c r="S80" s="145"/>
      <c r="T80" s="100" t="s">
        <v>3</v>
      </c>
      <c r="U80" s="101" t="s">
        <v>4</v>
      </c>
      <c r="V80" s="100" t="s">
        <v>3</v>
      </c>
      <c r="W80" s="101" t="s">
        <v>4</v>
      </c>
      <c r="X80" s="145"/>
      <c r="Y80" s="100" t="s">
        <v>3</v>
      </c>
      <c r="Z80" s="101" t="s">
        <v>4</v>
      </c>
      <c r="AA80" s="100" t="s">
        <v>3</v>
      </c>
      <c r="AB80" s="101" t="s">
        <v>4</v>
      </c>
      <c r="AC80" s="145"/>
      <c r="AD80" s="100" t="s">
        <v>3</v>
      </c>
      <c r="AE80" s="101" t="s">
        <v>4</v>
      </c>
      <c r="AF80" s="100" t="s">
        <v>3</v>
      </c>
      <c r="AG80" s="101" t="s">
        <v>4</v>
      </c>
      <c r="AH80" s="145"/>
      <c r="AI80" s="100" t="s">
        <v>3</v>
      </c>
      <c r="AJ80" s="101" t="s">
        <v>4</v>
      </c>
      <c r="AK80" s="100" t="s">
        <v>3</v>
      </c>
      <c r="AL80" s="101" t="s">
        <v>4</v>
      </c>
      <c r="AM80" s="145"/>
      <c r="AN80" s="100" t="s">
        <v>3</v>
      </c>
      <c r="AO80" s="101" t="s">
        <v>4</v>
      </c>
      <c r="AP80" s="100" t="s">
        <v>3</v>
      </c>
      <c r="AQ80" s="101" t="s">
        <v>4</v>
      </c>
      <c r="AR80" s="145"/>
      <c r="AS80" s="100" t="s">
        <v>3</v>
      </c>
      <c r="AT80" s="101" t="s">
        <v>4</v>
      </c>
      <c r="AU80" s="100" t="s">
        <v>3</v>
      </c>
      <c r="AV80" s="101" t="s">
        <v>4</v>
      </c>
      <c r="AW80" s="145"/>
      <c r="AX80" s="100" t="s">
        <v>3</v>
      </c>
      <c r="AY80" s="101" t="s">
        <v>4</v>
      </c>
      <c r="AZ80" s="100" t="s">
        <v>3</v>
      </c>
      <c r="BA80" s="101" t="s">
        <v>4</v>
      </c>
      <c r="BB80" s="145"/>
      <c r="BC80" s="100" t="s">
        <v>3</v>
      </c>
      <c r="BD80" s="101" t="s">
        <v>4</v>
      </c>
      <c r="BE80" s="100" t="s">
        <v>3</v>
      </c>
      <c r="BF80" s="101" t="s">
        <v>4</v>
      </c>
      <c r="BG80" s="145"/>
      <c r="BH80" s="100" t="s">
        <v>3</v>
      </c>
      <c r="BI80" s="101" t="s">
        <v>4</v>
      </c>
      <c r="BJ80" s="100" t="s">
        <v>3</v>
      </c>
      <c r="BK80" s="3" t="s">
        <v>4</v>
      </c>
      <c r="BL80" s="100" t="s">
        <v>3</v>
      </c>
      <c r="BM80" s="101" t="s">
        <v>4</v>
      </c>
      <c r="BN80" s="95"/>
      <c r="BO80" s="95"/>
      <c r="BP80" s="95"/>
    </row>
    <row r="81" spans="1:68" ht="15.75" thickBot="1" x14ac:dyDescent="0.3">
      <c r="A81" s="195"/>
      <c r="B81" s="963"/>
      <c r="C81" s="963"/>
      <c r="D81" s="1038"/>
      <c r="E81" s="908" t="s">
        <v>7</v>
      </c>
      <c r="F81" s="909"/>
      <c r="G81" s="908" t="s">
        <v>7</v>
      </c>
      <c r="H81" s="909"/>
      <c r="I81" s="908" t="s">
        <v>7</v>
      </c>
      <c r="J81" s="909"/>
      <c r="K81" s="1050"/>
      <c r="L81" s="1051"/>
      <c r="O81" s="908" t="s">
        <v>7</v>
      </c>
      <c r="P81" s="909"/>
      <c r="Q81" s="908" t="s">
        <v>7</v>
      </c>
      <c r="R81" s="909"/>
      <c r="S81" s="145"/>
      <c r="T81" s="908" t="s">
        <v>7</v>
      </c>
      <c r="U81" s="909"/>
      <c r="V81" s="908" t="s">
        <v>7</v>
      </c>
      <c r="W81" s="909"/>
      <c r="X81" s="145"/>
      <c r="Y81" s="908" t="s">
        <v>7</v>
      </c>
      <c r="Z81" s="909"/>
      <c r="AA81" s="908" t="s">
        <v>7</v>
      </c>
      <c r="AB81" s="909"/>
      <c r="AC81" s="145"/>
      <c r="AD81" s="908" t="s">
        <v>7</v>
      </c>
      <c r="AE81" s="909"/>
      <c r="AF81" s="201" t="s">
        <v>7</v>
      </c>
      <c r="AG81" s="202" t="s">
        <v>7</v>
      </c>
      <c r="AH81" s="145"/>
      <c r="AI81" s="908" t="s">
        <v>7</v>
      </c>
      <c r="AJ81" s="909"/>
      <c r="AK81" s="908" t="s">
        <v>7</v>
      </c>
      <c r="AL81" s="909"/>
      <c r="AM81" s="145"/>
      <c r="AN81" s="908" t="s">
        <v>7</v>
      </c>
      <c r="AO81" s="909"/>
      <c r="AP81" s="908" t="s">
        <v>7</v>
      </c>
      <c r="AQ81" s="909"/>
      <c r="AR81" s="145"/>
      <c r="AS81" s="908" t="s">
        <v>7</v>
      </c>
      <c r="AT81" s="909"/>
      <c r="AU81" s="908" t="s">
        <v>7</v>
      </c>
      <c r="AV81" s="909"/>
      <c r="AW81" s="145"/>
      <c r="AX81" s="908" t="s">
        <v>7</v>
      </c>
      <c r="AY81" s="909"/>
      <c r="AZ81" s="908" t="s">
        <v>7</v>
      </c>
      <c r="BA81" s="909"/>
      <c r="BB81" s="145"/>
      <c r="BC81" s="908" t="s">
        <v>7</v>
      </c>
      <c r="BD81" s="909"/>
      <c r="BE81" s="908" t="s">
        <v>7</v>
      </c>
      <c r="BF81" s="909"/>
      <c r="BG81" s="145"/>
      <c r="BH81" s="908" t="s">
        <v>7</v>
      </c>
      <c r="BI81" s="909"/>
      <c r="BJ81" s="908" t="s">
        <v>7</v>
      </c>
      <c r="BK81" s="909"/>
      <c r="BL81" s="908" t="s">
        <v>7</v>
      </c>
      <c r="BM81" s="909"/>
      <c r="BN81" s="321"/>
      <c r="BO81" s="321"/>
      <c r="BP81" s="321"/>
    </row>
    <row r="82" spans="1:68" ht="14.45" customHeight="1" x14ac:dyDescent="0.25">
      <c r="A82" s="195"/>
      <c r="B82" s="42" t="s">
        <v>72</v>
      </c>
      <c r="C82" s="38" t="s">
        <v>104</v>
      </c>
      <c r="D82" s="38" t="s">
        <v>73</v>
      </c>
      <c r="E82" s="203">
        <f>IF(E49=0,IF(E55&lt;&gt;0,E47/E55,0),E47/E49)</f>
        <v>23.850000054900004</v>
      </c>
      <c r="F82" s="204">
        <f>IF((F51+F53)=0,IF(F56&lt;&gt;0,F47/F56,0),F47/(F51+F53))</f>
        <v>46.909090181818186</v>
      </c>
      <c r="G82" s="205">
        <f>IF(G49=0,IF(G55&lt;&gt;0,G47/G55,0),G47/G49)</f>
        <v>23.850000054900001</v>
      </c>
      <c r="H82" s="206">
        <f>IF((H51+H53)=0,IF(H56&lt;&gt;0,H47/H56,0),H47/(H51+H53))</f>
        <v>46.909090181818186</v>
      </c>
      <c r="I82" s="205">
        <f>IF(I49=0,IF(I55&lt;&gt;0,I47/I55,0),I47/I49)</f>
        <v>0</v>
      </c>
      <c r="J82" s="206">
        <f>IF((J51+J53)=0,IF(J56&lt;&gt;0,J47/J56,0),J47/(J51+J53))</f>
        <v>0</v>
      </c>
      <c r="K82" s="1048" t="s">
        <v>426</v>
      </c>
      <c r="L82" s="855"/>
      <c r="O82" s="205">
        <f>IF(O49=0,IF(O55&lt;&gt;0,O47/O55,0),O47/O49)</f>
        <v>24.708000047496004</v>
      </c>
      <c r="P82" s="206">
        <f>IF((P51+P53)=0,IF(P56&lt;&gt;0,P47/P56,0),P47/(P51+P53))</f>
        <v>48.776362879999994</v>
      </c>
      <c r="Q82" s="205">
        <f>IF(Q49=0,IF(Q55&lt;&gt;0,Q47/Q55,0),Q47/Q49)</f>
        <v>0</v>
      </c>
      <c r="R82" s="206">
        <f>IF((R51+R53)=0,IF(R56&lt;&gt;0,R47/R56,0),R47/(R51+R53))</f>
        <v>0</v>
      </c>
      <c r="S82" s="145"/>
      <c r="T82" s="205">
        <f>IF(T49=0,IF(T55&lt;&gt;0,T47/T55,0),T47/T49)</f>
        <v>14.670599090357907</v>
      </c>
      <c r="U82" s="206">
        <f>IF((U51+U53)=0,IF(U56&lt;&gt;0,U47/U56,0),U47/(U51+U53))</f>
        <v>27.349999258181821</v>
      </c>
      <c r="V82" s="205">
        <f>IF(V49=0,IF(V55&lt;&gt;0,V47/V55,0),V47/V49)</f>
        <v>0</v>
      </c>
      <c r="W82" s="206">
        <f>IF((W51+W53)=0,IF(W56&lt;&gt;0,W47/W56,0),W47/(W51+W53))</f>
        <v>0</v>
      </c>
      <c r="X82" s="145"/>
      <c r="Y82" s="205">
        <f>IF(Y49=0,IF(Y55&lt;&gt;0,Y47/Y55,0),Y47/Y49)</f>
        <v>14.670599090357907</v>
      </c>
      <c r="Z82" s="206">
        <f>IF((Z51+Z53)=0,IF(Z56&lt;&gt;0,Z47/Z56,0),Z47/(Z51+Z53))</f>
        <v>27.349999258181821</v>
      </c>
      <c r="AA82" s="205">
        <f>IF(AA49=0,IF(AA55&lt;&gt;0,AA47/AA55,0),AA47/AA49)</f>
        <v>0</v>
      </c>
      <c r="AB82" s="206">
        <f>IF((AB51+AB53)=0,IF(AB56&lt;&gt;0,AB47/AB56,0),AB47/(AB51+AB53))</f>
        <v>0</v>
      </c>
      <c r="AC82" s="145"/>
      <c r="AD82" s="205">
        <f>IF(AD49=0,IF(AD55&lt;&gt;0,AD47/AD55,0),AD47/AD49)</f>
        <v>14.670599090357907</v>
      </c>
      <c r="AE82" s="206">
        <f>IF((AE51+AE53)=0,IF(AE56&lt;&gt;0,AE47/AE56,0),AE47/(AE51+AE53))</f>
        <v>27.349999258181821</v>
      </c>
      <c r="AF82" s="205">
        <f>IF(AF49=0,IF(AF55&lt;&gt;0,AF47/AF55,0),AF47/AF49)</f>
        <v>0</v>
      </c>
      <c r="AG82" s="206">
        <f>IF((AG51+AG53)=0,IF(AG56&lt;&gt;0,AG47/AG56,0),AG47/(AG51+AG53))</f>
        <v>0</v>
      </c>
      <c r="AH82" s="145"/>
      <c r="AI82" s="205">
        <f>IF(AI49=0,IF(AI55&lt;&gt;0,AI47/AI55,0),AI47/AI49)</f>
        <v>14.670599090357907</v>
      </c>
      <c r="AJ82" s="206">
        <f>IF((AJ51+AJ53)=0,IF(AJ56&lt;&gt;0,AJ47/AJ56,0),AJ47/(AJ51+AJ53))</f>
        <v>27.349999258181821</v>
      </c>
      <c r="AK82" s="205">
        <f>IF(AK49=0,IF(AK55&lt;&gt;0,AK47/AK55,0),AK47/AK49)</f>
        <v>0</v>
      </c>
      <c r="AL82" s="206">
        <f>IF((AL51+AL53)=0,IF(AL56&lt;&gt;0,AL47/AL56,0),AL47/(AL51+AL53))</f>
        <v>0</v>
      </c>
      <c r="AM82" s="145"/>
      <c r="AN82" s="205">
        <f>IF(AN49=0,IF(AN55&lt;&gt;0,AN47/AN55,0),AN47/AN49)</f>
        <v>14.670599090357907</v>
      </c>
      <c r="AO82" s="206">
        <f>IF((AO51+AO53)=0,IF(AO56&lt;&gt;0,AO47/AO56,0),AO47/(AO51+AO53))</f>
        <v>27.349999258181821</v>
      </c>
      <c r="AP82" s="205">
        <f>IF(AP49=0,IF(AP55&lt;&gt;0,AP47/AP55,0),AP47/AP49)</f>
        <v>0</v>
      </c>
      <c r="AQ82" s="206">
        <f>IF((AQ51+AQ53)=0,IF(AQ56&lt;&gt;0,AQ47/AQ56,0),AQ47/(AQ51+AQ53))</f>
        <v>0</v>
      </c>
      <c r="AR82" s="145"/>
      <c r="AS82" s="205">
        <f>IF(AS49=0,IF(AS55&lt;&gt;0,AS47/AS55,0),AS47/AS49)</f>
        <v>14.670599090357907</v>
      </c>
      <c r="AT82" s="206">
        <f>IF((AT51+AT53)=0,IF(AT56&lt;&gt;0,AT47/AT56,0),AT47/(AT51+AT53))</f>
        <v>27.349999258181821</v>
      </c>
      <c r="AU82" s="205">
        <f>IF(AU49=0,IF(AU55&lt;&gt;0,AU47/AU55,0),AU47/AU49)</f>
        <v>0</v>
      </c>
      <c r="AV82" s="206">
        <f>IF((AV51+AV53)=0,IF(AV56&lt;&gt;0,AV47/AV56,0),AV47/(AV51+AV53))</f>
        <v>0</v>
      </c>
      <c r="AW82" s="145"/>
      <c r="AX82" s="205">
        <f>IF(AX49=0,IF(AX55&lt;&gt;0,AX47/AX55,0),AX47/AX49)</f>
        <v>14.670599090357907</v>
      </c>
      <c r="AY82" s="206">
        <f>IF((AY51+AY53)=0,IF(AY56&lt;&gt;0,AY47/AY56,0),AY47/(AY51+AY53))</f>
        <v>27.349999258181821</v>
      </c>
      <c r="AZ82" s="205">
        <f>IF(AZ49=0,IF(AZ55&lt;&gt;0,AZ47/AZ55,0),AZ47/AZ49)</f>
        <v>0</v>
      </c>
      <c r="BA82" s="206">
        <f>IF((BA51+BA53)=0,IF(BA56&lt;&gt;0,BA47/BA56,0),BA47/(BA51+BA53))</f>
        <v>0</v>
      </c>
      <c r="BB82" s="145"/>
      <c r="BC82" s="205">
        <f>IF(BC49=0,IF(BC55&lt;&gt;0,BC47/BC55,0),BC47/BC49)</f>
        <v>14.670599090357907</v>
      </c>
      <c r="BD82" s="206">
        <f>IF((BD51+BD53)=0,IF(BD56&lt;&gt;0,BD47/BD56,0),BD47/(BD51+BD53))</f>
        <v>27.349999258181821</v>
      </c>
      <c r="BE82" s="205">
        <f>IF(BE49=0,IF(BE55&lt;&gt;0,BE47/BE55,0),BE47/BE49)</f>
        <v>0</v>
      </c>
      <c r="BF82" s="206">
        <f>IF((BF51+BF53)=0,IF(BF56&lt;&gt;0,BF47/BF56,0),BF47/(BF51+BF53))</f>
        <v>0</v>
      </c>
      <c r="BG82" s="145"/>
      <c r="BH82" s="205">
        <f>IF(BH49=0,IF(BH55&lt;&gt;0,BH47/BH55,0),BH47/BH49)</f>
        <v>14.670599090357907</v>
      </c>
      <c r="BI82" s="206">
        <f>IF((BI51+BI53)=0,IF(BI56&lt;&gt;0,BI47/BI56,0),BI47/(BI51+BI53))</f>
        <v>27.349999258181821</v>
      </c>
      <c r="BJ82" s="205">
        <f>IF(BJ49=0,IF(BJ55&lt;&gt;0,BJ47/BJ55,0),BJ47/BJ49)</f>
        <v>0</v>
      </c>
      <c r="BK82" s="206">
        <f>IF((BK51+BK53)=0,IF(BK56&lt;&gt;0,BK47/BK56,0),BK47/(BK51+BK53))</f>
        <v>0</v>
      </c>
      <c r="BL82" s="205">
        <f>IF(BL49=0,IF(BL55&lt;&gt;0,BL47/BL55,0),BL47/BL49)</f>
        <v>0</v>
      </c>
      <c r="BM82" s="206">
        <f>IF((BM51+BM53)=0,IF(BM56&lt;&gt;0,BM47/BM56,0),BM47/(BM51+BM53))</f>
        <v>0</v>
      </c>
      <c r="BN82" s="316"/>
      <c r="BO82" s="316"/>
      <c r="BP82" s="316"/>
    </row>
    <row r="83" spans="1:68" x14ac:dyDescent="0.25">
      <c r="A83" s="195"/>
      <c r="B83" s="42" t="s">
        <v>74</v>
      </c>
      <c r="C83" s="38" t="s">
        <v>358</v>
      </c>
      <c r="D83" s="38" t="s">
        <v>109</v>
      </c>
      <c r="E83" s="684">
        <f t="shared" ref="E83:J83" si="70">E84+E85</f>
        <v>0</v>
      </c>
      <c r="F83" s="685">
        <f t="shared" si="70"/>
        <v>0</v>
      </c>
      <c r="G83" s="686">
        <f t="shared" si="70"/>
        <v>0</v>
      </c>
      <c r="H83" s="687">
        <f t="shared" si="70"/>
        <v>0</v>
      </c>
      <c r="I83" s="686">
        <f t="shared" si="70"/>
        <v>0</v>
      </c>
      <c r="J83" s="687">
        <f t="shared" si="70"/>
        <v>0</v>
      </c>
      <c r="K83" s="870" t="s">
        <v>404</v>
      </c>
      <c r="L83" s="854"/>
      <c r="O83" s="686">
        <f>O84+O85</f>
        <v>0</v>
      </c>
      <c r="P83" s="687">
        <f>P84+P85</f>
        <v>0</v>
      </c>
      <c r="Q83" s="686">
        <f>Q84+Q85</f>
        <v>0</v>
      </c>
      <c r="R83" s="687">
        <f>R84+R85</f>
        <v>0</v>
      </c>
      <c r="S83" s="145"/>
      <c r="T83" s="686">
        <f>T84+T85</f>
        <v>0</v>
      </c>
      <c r="U83" s="687">
        <f>U84+U85</f>
        <v>0</v>
      </c>
      <c r="V83" s="686">
        <f>V84+V85</f>
        <v>0</v>
      </c>
      <c r="W83" s="687">
        <f>W84+W85</f>
        <v>0</v>
      </c>
      <c r="X83" s="145"/>
      <c r="Y83" s="686">
        <f>Y84+Y85</f>
        <v>0</v>
      </c>
      <c r="Z83" s="687">
        <f>Z84+Z85</f>
        <v>0</v>
      </c>
      <c r="AA83" s="686">
        <f>AA84+AA85</f>
        <v>0</v>
      </c>
      <c r="AB83" s="687">
        <f>AB84+AB85</f>
        <v>0</v>
      </c>
      <c r="AC83" s="145"/>
      <c r="AD83" s="686">
        <f>AD84+AD85</f>
        <v>0</v>
      </c>
      <c r="AE83" s="687">
        <f>AE84+AE85</f>
        <v>0</v>
      </c>
      <c r="AF83" s="686">
        <f>AF84+AF85</f>
        <v>0</v>
      </c>
      <c r="AG83" s="687">
        <f>AG84+AG85</f>
        <v>0</v>
      </c>
      <c r="AH83" s="145"/>
      <c r="AI83" s="686">
        <f>AI84+AI85</f>
        <v>0</v>
      </c>
      <c r="AJ83" s="687">
        <f>AJ84+AJ85</f>
        <v>0</v>
      </c>
      <c r="AK83" s="686">
        <f>AK84+AK85</f>
        <v>0</v>
      </c>
      <c r="AL83" s="687">
        <f>AL84+AL85</f>
        <v>0</v>
      </c>
      <c r="AM83" s="145"/>
      <c r="AN83" s="686">
        <f>AN84+AN85</f>
        <v>0</v>
      </c>
      <c r="AO83" s="687">
        <f>AO84+AO85</f>
        <v>0</v>
      </c>
      <c r="AP83" s="686">
        <f>AP84+AP85</f>
        <v>0</v>
      </c>
      <c r="AQ83" s="687">
        <f>AQ84+AQ85</f>
        <v>0</v>
      </c>
      <c r="AR83" s="145"/>
      <c r="AS83" s="686">
        <f>AS84+AS85</f>
        <v>0</v>
      </c>
      <c r="AT83" s="687">
        <f>AT84+AT85</f>
        <v>0</v>
      </c>
      <c r="AU83" s="686">
        <f>AU84+AU85</f>
        <v>0</v>
      </c>
      <c r="AV83" s="687">
        <f>AV84+AV85</f>
        <v>0</v>
      </c>
      <c r="AW83" s="145"/>
      <c r="AX83" s="686">
        <f>AX84+AX85</f>
        <v>0</v>
      </c>
      <c r="AY83" s="687">
        <f>AY84+AY85</f>
        <v>0</v>
      </c>
      <c r="AZ83" s="686">
        <f>AZ84+AZ85</f>
        <v>0</v>
      </c>
      <c r="BA83" s="687">
        <f>BA84+BA85</f>
        <v>0</v>
      </c>
      <c r="BB83" s="145"/>
      <c r="BC83" s="686">
        <f>BC84+BC85</f>
        <v>0</v>
      </c>
      <c r="BD83" s="687">
        <f>BD84+BD85</f>
        <v>0</v>
      </c>
      <c r="BE83" s="686">
        <f>BE84+BE85</f>
        <v>0</v>
      </c>
      <c r="BF83" s="687">
        <f>BF84+BF85</f>
        <v>0</v>
      </c>
      <c r="BG83" s="145"/>
      <c r="BH83" s="205">
        <f t="shared" ref="BH83:BM83" si="71">BH84+BH85</f>
        <v>0</v>
      </c>
      <c r="BI83" s="206">
        <f t="shared" si="71"/>
        <v>0</v>
      </c>
      <c r="BJ83" s="205">
        <f t="shared" si="71"/>
        <v>0</v>
      </c>
      <c r="BK83" s="206">
        <f t="shared" si="71"/>
        <v>0</v>
      </c>
      <c r="BL83" s="205">
        <f t="shared" si="71"/>
        <v>0</v>
      </c>
      <c r="BM83" s="206">
        <f t="shared" si="71"/>
        <v>0</v>
      </c>
      <c r="BN83" s="316"/>
      <c r="BO83" s="316"/>
      <c r="BP83" s="316"/>
    </row>
    <row r="84" spans="1:68" x14ac:dyDescent="0.25">
      <c r="A84" s="195"/>
      <c r="B84" s="42" t="s">
        <v>352</v>
      </c>
      <c r="C84" s="38" t="s">
        <v>359</v>
      </c>
      <c r="D84" s="38" t="s">
        <v>109</v>
      </c>
      <c r="E84" s="688">
        <f>Nabídka!G76</f>
        <v>0</v>
      </c>
      <c r="F84" s="689">
        <f>Nabídka!H76</f>
        <v>0</v>
      </c>
      <c r="G84" s="686">
        <v>0</v>
      </c>
      <c r="H84" s="687">
        <v>0</v>
      </c>
      <c r="I84" s="690">
        <v>0</v>
      </c>
      <c r="J84" s="691">
        <v>0</v>
      </c>
      <c r="K84" s="872"/>
      <c r="L84" s="1049"/>
      <c r="O84" s="690">
        <v>0</v>
      </c>
      <c r="P84" s="691">
        <v>0</v>
      </c>
      <c r="Q84" s="690">
        <v>0</v>
      </c>
      <c r="R84" s="691">
        <v>0</v>
      </c>
      <c r="S84" s="145"/>
      <c r="T84" s="690">
        <v>0</v>
      </c>
      <c r="U84" s="691">
        <v>0</v>
      </c>
      <c r="V84" s="690">
        <v>0</v>
      </c>
      <c r="W84" s="691">
        <v>0</v>
      </c>
      <c r="X84" s="145"/>
      <c r="Y84" s="690">
        <v>0</v>
      </c>
      <c r="Z84" s="691">
        <v>0</v>
      </c>
      <c r="AA84" s="690">
        <v>0</v>
      </c>
      <c r="AB84" s="691">
        <v>0</v>
      </c>
      <c r="AC84" s="145"/>
      <c r="AD84" s="690">
        <v>0</v>
      </c>
      <c r="AE84" s="691">
        <v>0</v>
      </c>
      <c r="AF84" s="690">
        <v>0</v>
      </c>
      <c r="AG84" s="691">
        <v>0</v>
      </c>
      <c r="AH84" s="145"/>
      <c r="AI84" s="690">
        <v>0</v>
      </c>
      <c r="AJ84" s="691">
        <v>0</v>
      </c>
      <c r="AK84" s="690">
        <v>0</v>
      </c>
      <c r="AL84" s="691">
        <v>0</v>
      </c>
      <c r="AM84" s="145"/>
      <c r="AN84" s="690">
        <v>0</v>
      </c>
      <c r="AO84" s="691">
        <v>0</v>
      </c>
      <c r="AP84" s="690">
        <v>0</v>
      </c>
      <c r="AQ84" s="691">
        <v>0</v>
      </c>
      <c r="AR84" s="145"/>
      <c r="AS84" s="690">
        <v>0</v>
      </c>
      <c r="AT84" s="691">
        <v>0</v>
      </c>
      <c r="AU84" s="690">
        <v>0</v>
      </c>
      <c r="AV84" s="691">
        <v>0</v>
      </c>
      <c r="AW84" s="145"/>
      <c r="AX84" s="690">
        <v>0</v>
      </c>
      <c r="AY84" s="691">
        <v>0</v>
      </c>
      <c r="AZ84" s="690">
        <v>0</v>
      </c>
      <c r="BA84" s="691">
        <v>0</v>
      </c>
      <c r="BB84" s="145"/>
      <c r="BC84" s="690">
        <v>0</v>
      </c>
      <c r="BD84" s="691">
        <v>0</v>
      </c>
      <c r="BE84" s="690">
        <v>0</v>
      </c>
      <c r="BF84" s="691">
        <v>0</v>
      </c>
      <c r="BG84" s="145"/>
      <c r="BH84" s="659">
        <v>0</v>
      </c>
      <c r="BI84" s="660">
        <v>0</v>
      </c>
      <c r="BJ84" s="659">
        <v>0</v>
      </c>
      <c r="BK84" s="660">
        <v>0</v>
      </c>
      <c r="BL84" s="659">
        <f>IF(AND(DAY(Postup!$H$25)=31,MONTH(Postup!$H$25)=12),0,INDEX($E84:$BP84,MATCH($BL$57,$E$57:$BP$57,0))*Výpočty!$E$23)</f>
        <v>0</v>
      </c>
      <c r="BM84" s="660">
        <f>IF(AND(DAY(Postup!$H$25)=31,MONTH(Postup!$H$25)=12),0,INDEX($E84:$BP84,MATCH($BM$57,$E$57:$BP$57,0))*Výpočty!$E$23)</f>
        <v>0</v>
      </c>
      <c r="BN84" s="316"/>
      <c r="BO84" s="316"/>
      <c r="BP84" s="316"/>
    </row>
    <row r="85" spans="1:68" x14ac:dyDescent="0.25">
      <c r="A85" s="195"/>
      <c r="B85" s="42" t="s">
        <v>361</v>
      </c>
      <c r="C85" s="38" t="s">
        <v>360</v>
      </c>
      <c r="D85" s="38" t="s">
        <v>109</v>
      </c>
      <c r="E85" s="688">
        <f>Nabídka!G77</f>
        <v>0</v>
      </c>
      <c r="F85" s="689">
        <f>Nabídka!H77</f>
        <v>0</v>
      </c>
      <c r="G85" s="686">
        <f>IF(AND(DAY(Postup!$H$24)=1,MONTH(Postup!$H$24)=1),0,E85*Výpočty!$E$17)</f>
        <v>0</v>
      </c>
      <c r="H85" s="687">
        <f>IF(AND(DAY(Postup!$H$24)=1,MONTH(Postup!$H$24)=1),0,F85*Výpočty!$E$17)</f>
        <v>0</v>
      </c>
      <c r="I85" s="690">
        <f>IF(I$16="Neaktivní",0,IF(ISBLANK($J$17),0,IF(AND(DAY(Postup!$H$24)=1,MONTH(Postup!$H$24)=1),E85,G85)))</f>
        <v>0</v>
      </c>
      <c r="J85" s="691">
        <f>IF(I$16="Neaktivní",0,IF(ISBLANK($J$17),0,IF(AND(DAY(Postup!$H$24)=1,MONTH(Postup!$H$24)=1),F85,H85)))</f>
        <v>0</v>
      </c>
      <c r="K85" s="869"/>
      <c r="L85" s="901"/>
      <c r="O85" s="690">
        <v>0</v>
      </c>
      <c r="P85" s="691">
        <v>0</v>
      </c>
      <c r="Q85" s="690">
        <v>0</v>
      </c>
      <c r="R85" s="691">
        <v>0</v>
      </c>
      <c r="S85" s="145"/>
      <c r="T85" s="686">
        <f>-'Kalkulace a Porovnání'!AG52</f>
        <v>0</v>
      </c>
      <c r="U85" s="687">
        <f>-'Kalkulace a Porovnání'!AH52</f>
        <v>0</v>
      </c>
      <c r="V85" s="686">
        <f>IF(V$16="Neaktivní",0,IF(ISBLANK(W$17),0,T85))</f>
        <v>0</v>
      </c>
      <c r="W85" s="687">
        <f>IF(V$16="Neaktivní",0,IF(ISBLANK(W$17),0,U85))</f>
        <v>0</v>
      </c>
      <c r="X85" s="145"/>
      <c r="Y85" s="686">
        <f>-'Kalkulace a Porovnání'!AG128</f>
        <v>0</v>
      </c>
      <c r="Z85" s="687">
        <f>-'Kalkulace a Porovnání'!AH128</f>
        <v>0</v>
      </c>
      <c r="AA85" s="686">
        <f>IF(AA$16="Neaktivní",0,IF(ISBLANK(AB$17),0,Y85))</f>
        <v>0</v>
      </c>
      <c r="AB85" s="687">
        <f>IF(AA$16="Neaktivní",0,IF(ISBLANK(AB$17),0,Z85))</f>
        <v>0</v>
      </c>
      <c r="AC85" s="145"/>
      <c r="AD85" s="686">
        <f>-'Kalkulace a Porovnání'!AG204</f>
        <v>0</v>
      </c>
      <c r="AE85" s="687">
        <f>-'Kalkulace a Porovnání'!AH204</f>
        <v>0</v>
      </c>
      <c r="AF85" s="686">
        <f>IF(AF$16="Neaktivní",0,IF(ISBLANK(AG$17),0,AD85))</f>
        <v>0</v>
      </c>
      <c r="AG85" s="687">
        <f>IF(AF$16="Neaktivní",0,IF(ISBLANK(AG$17),0,AE85))</f>
        <v>0</v>
      </c>
      <c r="AH85" s="145"/>
      <c r="AI85" s="686">
        <f>-'Kalkulace a Porovnání'!AG280</f>
        <v>0</v>
      </c>
      <c r="AJ85" s="687">
        <f>-'Kalkulace a Porovnání'!AH280</f>
        <v>0</v>
      </c>
      <c r="AK85" s="686">
        <f>IF(AK$16="Neaktivní",0,IF(ISBLANK(AL$17),0,AI85))</f>
        <v>0</v>
      </c>
      <c r="AL85" s="687">
        <f>IF(AK$16="Neaktivní",0,IF(ISBLANK(AL$17),0,AJ85))</f>
        <v>0</v>
      </c>
      <c r="AM85" s="145"/>
      <c r="AN85" s="686">
        <f>-'Kalkulace a Porovnání'!AG356</f>
        <v>0</v>
      </c>
      <c r="AO85" s="687">
        <f>-'Kalkulace a Porovnání'!AH356</f>
        <v>0</v>
      </c>
      <c r="AP85" s="686">
        <f>IF(AP$16="Neaktivní",0,IF(ISBLANK(AQ$17),0,AN85))</f>
        <v>0</v>
      </c>
      <c r="AQ85" s="687">
        <f>IF(AP$16="Neaktivní",0,IF(ISBLANK(AQ$17),0,AO85))</f>
        <v>0</v>
      </c>
      <c r="AR85" s="145"/>
      <c r="AS85" s="686">
        <f>-'Kalkulace a Porovnání'!AG432</f>
        <v>0</v>
      </c>
      <c r="AT85" s="687">
        <f>-'Kalkulace a Porovnání'!AH432</f>
        <v>0</v>
      </c>
      <c r="AU85" s="686">
        <f>IF(AU$16="Neaktivní",0,IF(ISBLANK(AV$17),0,AS85))</f>
        <v>0</v>
      </c>
      <c r="AV85" s="687">
        <f>IF(AU$16="Neaktivní",0,IF(ISBLANK(AV$17),0,AT85))</f>
        <v>0</v>
      </c>
      <c r="AW85" s="145"/>
      <c r="AX85" s="686">
        <f>-'Kalkulace a Porovnání'!AG508</f>
        <v>0</v>
      </c>
      <c r="AY85" s="687">
        <f>-'Kalkulace a Porovnání'!AH508</f>
        <v>0</v>
      </c>
      <c r="AZ85" s="686">
        <f>IF(AZ$16="Neaktivní",0,IF(ISBLANK(BA$17),0,AX85))</f>
        <v>0</v>
      </c>
      <c r="BA85" s="687">
        <f>IF(AZ$16="Neaktivní",0,IF(ISBLANK(BA$17),0,AY85))</f>
        <v>0</v>
      </c>
      <c r="BB85" s="145"/>
      <c r="BC85" s="686">
        <f>-'Kalkulace a Porovnání'!AG584</f>
        <v>0</v>
      </c>
      <c r="BD85" s="687">
        <f>-'Kalkulace a Porovnání'!AH584</f>
        <v>0</v>
      </c>
      <c r="BE85" s="686">
        <f>IF(BE$16="Neaktivní",0,IF(ISBLANK(BF$17),0,BC85))</f>
        <v>0</v>
      </c>
      <c r="BF85" s="687">
        <f>IF(BE$16="Neaktivní",0,IF(ISBLANK(BF$17),0,BD85))</f>
        <v>0</v>
      </c>
      <c r="BG85" s="145"/>
      <c r="BH85" s="205">
        <f>-'Kalkulace a Porovnání'!AG660</f>
        <v>0</v>
      </c>
      <c r="BI85" s="206">
        <f>-'Kalkulace a Porovnání'!AH660</f>
        <v>0</v>
      </c>
      <c r="BJ85" s="205">
        <f>IF(BJ$16="Neaktivní",0,IF(ISBLANK(BK$17),0,BH85))</f>
        <v>0</v>
      </c>
      <c r="BK85" s="206">
        <f>IF(BJ$16="Neaktivní",0,IF(ISBLANK(BK$17),0,BI85))</f>
        <v>0</v>
      </c>
      <c r="BL85" s="205">
        <f>IF(AND(DAY(Postup!$H$25)=31,MONTH(Postup!$H$25)=12),0,INDEX($E85:$BP85,MATCH($BL$57,$E$57:$BP$57,0))*Výpočty!$E$23)</f>
        <v>0</v>
      </c>
      <c r="BM85" s="206">
        <f>IF(AND(DAY(Postup!$H$25)=31,MONTH(Postup!$H$25)=12),0,INDEX($E85:$BP85,MATCH($BM$57,$E$57:$BP$57,0))*Výpočty!$E$23)</f>
        <v>0</v>
      </c>
      <c r="BN85" s="316"/>
      <c r="BO85" s="316"/>
      <c r="BP85" s="316"/>
    </row>
    <row r="86" spans="1:68" x14ac:dyDescent="0.25">
      <c r="A86" s="195"/>
      <c r="B86" s="42" t="s">
        <v>75</v>
      </c>
      <c r="C86" s="38" t="s">
        <v>396</v>
      </c>
      <c r="D86" s="38" t="s">
        <v>109</v>
      </c>
      <c r="E86" s="133">
        <f t="shared" ref="E86:J86" si="72">E47+E83</f>
        <v>0.79499992232999994</v>
      </c>
      <c r="F86" s="134">
        <f t="shared" si="72"/>
        <v>2.0639999680000001</v>
      </c>
      <c r="G86" s="133">
        <f t="shared" si="72"/>
        <v>0.59679446224224653</v>
      </c>
      <c r="H86" s="129">
        <f t="shared" si="72"/>
        <v>1.5494136746082192</v>
      </c>
      <c r="I86" s="133">
        <f t="shared" si="72"/>
        <v>0</v>
      </c>
      <c r="J86" s="129">
        <f t="shared" si="72"/>
        <v>0</v>
      </c>
      <c r="K86" s="870" t="s">
        <v>405</v>
      </c>
      <c r="L86" s="855"/>
      <c r="O86" s="128">
        <f>O47+O83</f>
        <v>0.82359991922319997</v>
      </c>
      <c r="P86" s="129">
        <f>P47+P83</f>
        <v>2.1461599667199995</v>
      </c>
      <c r="Q86" s="133">
        <f>Q47+Q83</f>
        <v>0</v>
      </c>
      <c r="R86" s="129">
        <f>R47+R83</f>
        <v>0</v>
      </c>
      <c r="S86" s="145"/>
      <c r="T86" s="128">
        <f>T47+T83</f>
        <v>0.48901992077659995</v>
      </c>
      <c r="U86" s="129">
        <f>U47+U83</f>
        <v>1.20339996736</v>
      </c>
      <c r="V86" s="133">
        <f>V47+V83</f>
        <v>3.7399996259999999E-2</v>
      </c>
      <c r="W86" s="129">
        <f>W47+W83</f>
        <v>0.40799999591999997</v>
      </c>
      <c r="X86" s="145"/>
      <c r="Y86" s="128">
        <f>Y47+Y83</f>
        <v>0.48901992077659995</v>
      </c>
      <c r="Z86" s="129">
        <f>Z47+Z83</f>
        <v>1.20339996736</v>
      </c>
      <c r="AA86" s="133">
        <f>AA47+AA83</f>
        <v>3.7399996259999999E-2</v>
      </c>
      <c r="AB86" s="129">
        <f>AB47+AB83</f>
        <v>0.40799999591999997</v>
      </c>
      <c r="AC86" s="145"/>
      <c r="AD86" s="128">
        <f>AD47+AD83</f>
        <v>0.48901992077659995</v>
      </c>
      <c r="AE86" s="129">
        <f>AE47+AE83</f>
        <v>1.20339996736</v>
      </c>
      <c r="AF86" s="133">
        <f>AF47+AF83</f>
        <v>3.7399996259999999E-2</v>
      </c>
      <c r="AG86" s="129">
        <f>AG47+AG83</f>
        <v>0.40799999591999997</v>
      </c>
      <c r="AH86" s="145"/>
      <c r="AI86" s="128">
        <f>AI47+AI83</f>
        <v>0.48901992077659995</v>
      </c>
      <c r="AJ86" s="129">
        <f>AJ47+AJ83</f>
        <v>1.20339996736</v>
      </c>
      <c r="AK86" s="133">
        <f>AK47+AK83</f>
        <v>3.7399996259999999E-2</v>
      </c>
      <c r="AL86" s="129">
        <f>AL47+AL83</f>
        <v>0.40799999591999997</v>
      </c>
      <c r="AM86" s="145"/>
      <c r="AN86" s="128">
        <f>AN47+AN83</f>
        <v>0.48901992077659995</v>
      </c>
      <c r="AO86" s="129">
        <f>AO47+AO83</f>
        <v>1.20339996736</v>
      </c>
      <c r="AP86" s="133">
        <f>AP47+AP83</f>
        <v>3.7399996259999999E-2</v>
      </c>
      <c r="AQ86" s="129">
        <f>AQ47+AQ83</f>
        <v>0.40799999591999997</v>
      </c>
      <c r="AR86" s="145"/>
      <c r="AS86" s="128">
        <f>AS47+AS83</f>
        <v>0.48901992077659995</v>
      </c>
      <c r="AT86" s="129">
        <f>AT47+AT83</f>
        <v>1.20339996736</v>
      </c>
      <c r="AU86" s="133">
        <f>AU47+AU83</f>
        <v>3.7399996259999999E-2</v>
      </c>
      <c r="AV86" s="129">
        <f>AV47+AV83</f>
        <v>0.40799999591999997</v>
      </c>
      <c r="AW86" s="145"/>
      <c r="AX86" s="128">
        <f>AX47+AX83</f>
        <v>0.48901992077659995</v>
      </c>
      <c r="AY86" s="129">
        <f>AY47+AY83</f>
        <v>1.20339996736</v>
      </c>
      <c r="AZ86" s="133">
        <f>AZ47+AZ83</f>
        <v>3.7399996259999999E-2</v>
      </c>
      <c r="BA86" s="129">
        <f>BA47+BA83</f>
        <v>0.40799999591999997</v>
      </c>
      <c r="BB86" s="145"/>
      <c r="BC86" s="128">
        <f>BC47+BC83</f>
        <v>0.48901992077659995</v>
      </c>
      <c r="BD86" s="129">
        <f>BD47+BD83</f>
        <v>1.20339996736</v>
      </c>
      <c r="BE86" s="133">
        <f>BE47+BE83</f>
        <v>3.7399996259999999E-2</v>
      </c>
      <c r="BF86" s="129">
        <f>BF47+BF83</f>
        <v>0.40799999591999997</v>
      </c>
      <c r="BG86" s="145"/>
      <c r="BH86" s="128">
        <f t="shared" ref="BH86:BM86" si="73">BH47+BH83</f>
        <v>0.48901992077659995</v>
      </c>
      <c r="BI86" s="129">
        <f t="shared" si="73"/>
        <v>1.20339996736</v>
      </c>
      <c r="BJ86" s="133">
        <f t="shared" si="73"/>
        <v>3.7399996259999999E-2</v>
      </c>
      <c r="BK86" s="129">
        <f t="shared" si="73"/>
        <v>0.40799999591999997</v>
      </c>
      <c r="BL86" s="133">
        <f t="shared" si="73"/>
        <v>0</v>
      </c>
      <c r="BM86" s="129">
        <f t="shared" si="73"/>
        <v>0</v>
      </c>
      <c r="BN86" s="147"/>
      <c r="BO86" s="147"/>
      <c r="BP86" s="147"/>
    </row>
    <row r="87" spans="1:68" x14ac:dyDescent="0.25">
      <c r="A87" s="195"/>
      <c r="B87" s="42" t="s">
        <v>76</v>
      </c>
      <c r="C87" s="38" t="s">
        <v>373</v>
      </c>
      <c r="D87" s="38" t="s">
        <v>109</v>
      </c>
      <c r="E87" s="133">
        <f t="shared" ref="E87:J87" si="74">E74</f>
        <v>2.3999896640999999E-2</v>
      </c>
      <c r="F87" s="134">
        <f t="shared" si="74"/>
        <v>0.100000278</v>
      </c>
      <c r="G87" s="133">
        <f t="shared" si="74"/>
        <v>1.8016360766120544E-2</v>
      </c>
      <c r="H87" s="134">
        <f t="shared" si="74"/>
        <v>7.5068701841095903E-2</v>
      </c>
      <c r="I87" s="133">
        <f t="shared" si="74"/>
        <v>0</v>
      </c>
      <c r="J87" s="134">
        <f t="shared" si="74"/>
        <v>0</v>
      </c>
      <c r="K87" s="1034" t="s">
        <v>427</v>
      </c>
      <c r="L87" s="855"/>
      <c r="O87" s="128">
        <f>O74</f>
        <v>2.3999896640999999E-2</v>
      </c>
      <c r="P87" s="129">
        <f>P74</f>
        <v>0.100000278</v>
      </c>
      <c r="Q87" s="133">
        <f>Q74</f>
        <v>0</v>
      </c>
      <c r="R87" s="134">
        <f>R74</f>
        <v>0</v>
      </c>
      <c r="S87" s="145"/>
      <c r="T87" s="128">
        <f>T74</f>
        <v>2.3999896640999999E-2</v>
      </c>
      <c r="U87" s="129">
        <f>U74</f>
        <v>0.100000278</v>
      </c>
      <c r="V87" s="133">
        <f>V74</f>
        <v>0</v>
      </c>
      <c r="W87" s="134">
        <f>W74</f>
        <v>0</v>
      </c>
      <c r="X87" s="145"/>
      <c r="Y87" s="128">
        <f>Y74</f>
        <v>2.3999896640999999E-2</v>
      </c>
      <c r="Z87" s="129">
        <f>Z74</f>
        <v>0.100000278</v>
      </c>
      <c r="AA87" s="133">
        <f>AA74</f>
        <v>0</v>
      </c>
      <c r="AB87" s="134">
        <f>AB74</f>
        <v>0</v>
      </c>
      <c r="AC87" s="145"/>
      <c r="AD87" s="128">
        <f>AD74</f>
        <v>2.3999896640999999E-2</v>
      </c>
      <c r="AE87" s="129">
        <f>AE74</f>
        <v>0.100000278</v>
      </c>
      <c r="AF87" s="133">
        <f>AF74</f>
        <v>0</v>
      </c>
      <c r="AG87" s="134">
        <f>AG74</f>
        <v>0</v>
      </c>
      <c r="AH87" s="145"/>
      <c r="AI87" s="128">
        <f>AI74</f>
        <v>2.3999896640999999E-2</v>
      </c>
      <c r="AJ87" s="129">
        <f>AJ74</f>
        <v>0.100000278</v>
      </c>
      <c r="AK87" s="133">
        <f>AK74</f>
        <v>0</v>
      </c>
      <c r="AL87" s="134">
        <f>AL74</f>
        <v>0</v>
      </c>
      <c r="AM87" s="145"/>
      <c r="AN87" s="128">
        <f>AN74</f>
        <v>2.3999896640999999E-2</v>
      </c>
      <c r="AO87" s="129">
        <f>AO74</f>
        <v>0.100000278</v>
      </c>
      <c r="AP87" s="133">
        <f>AP74</f>
        <v>0</v>
      </c>
      <c r="AQ87" s="134">
        <f>AQ74</f>
        <v>0</v>
      </c>
      <c r="AR87" s="145"/>
      <c r="AS87" s="128">
        <f>AS74</f>
        <v>2.3999896640999999E-2</v>
      </c>
      <c r="AT87" s="129">
        <f>AT74</f>
        <v>0.100000278</v>
      </c>
      <c r="AU87" s="133">
        <f>AU74</f>
        <v>0</v>
      </c>
      <c r="AV87" s="134">
        <f>AV74</f>
        <v>0</v>
      </c>
      <c r="AW87" s="145"/>
      <c r="AX87" s="128">
        <f>AX74</f>
        <v>2.3999896640999999E-2</v>
      </c>
      <c r="AY87" s="129">
        <f>AY74</f>
        <v>0.100000278</v>
      </c>
      <c r="AZ87" s="133">
        <f>AZ74</f>
        <v>0</v>
      </c>
      <c r="BA87" s="134">
        <f>BA74</f>
        <v>0</v>
      </c>
      <c r="BB87" s="145"/>
      <c r="BC87" s="128">
        <f>BC74</f>
        <v>2.3999896640999999E-2</v>
      </c>
      <c r="BD87" s="129">
        <f>BD74</f>
        <v>0.100000278</v>
      </c>
      <c r="BE87" s="133">
        <f>BE74</f>
        <v>0</v>
      </c>
      <c r="BF87" s="134">
        <f>BF74</f>
        <v>0</v>
      </c>
      <c r="BG87" s="145"/>
      <c r="BH87" s="128">
        <f t="shared" ref="BH87:BM87" si="75">BH74</f>
        <v>2.3999896640999999E-2</v>
      </c>
      <c r="BI87" s="129">
        <f t="shared" si="75"/>
        <v>0.100000278</v>
      </c>
      <c r="BJ87" s="133">
        <f t="shared" si="75"/>
        <v>0</v>
      </c>
      <c r="BK87" s="134">
        <f t="shared" si="75"/>
        <v>0</v>
      </c>
      <c r="BL87" s="133">
        <f t="shared" si="75"/>
        <v>0</v>
      </c>
      <c r="BM87" s="134">
        <f t="shared" si="75"/>
        <v>0</v>
      </c>
      <c r="BN87" s="147"/>
      <c r="BO87" s="147"/>
      <c r="BP87" s="317"/>
    </row>
    <row r="88" spans="1:68" ht="23.1" customHeight="1" x14ac:dyDescent="0.25">
      <c r="A88" s="195"/>
      <c r="B88" s="42" t="s">
        <v>78</v>
      </c>
      <c r="C88" s="545" t="s">
        <v>399</v>
      </c>
      <c r="D88" s="38" t="s">
        <v>77</v>
      </c>
      <c r="E88" s="135">
        <f t="shared" ref="E88:J88" si="76">IF(E86=0,0,E87/E86*100)</f>
        <v>3.0188552183326856</v>
      </c>
      <c r="F88" s="136">
        <f t="shared" si="76"/>
        <v>4.8449747844182136</v>
      </c>
      <c r="G88" s="163">
        <f t="shared" si="76"/>
        <v>3.0188552183326851</v>
      </c>
      <c r="H88" s="200">
        <f t="shared" si="76"/>
        <v>4.8449747844182145</v>
      </c>
      <c r="I88" s="163">
        <f t="shared" si="76"/>
        <v>0</v>
      </c>
      <c r="J88" s="200">
        <f t="shared" si="76"/>
        <v>0</v>
      </c>
      <c r="K88" s="1048" t="s">
        <v>406</v>
      </c>
      <c r="L88" s="855"/>
      <c r="O88" s="135">
        <f>IF(O86=0,0,(O87/O86)*100)</f>
        <v>2.9140236759173233</v>
      </c>
      <c r="P88" s="645">
        <f>IF(P86=0,0,(P87/P86)*100)</f>
        <v>4.6594978729768943</v>
      </c>
      <c r="Q88" s="163">
        <f>IF(Q86=0,0,Q87/Q86*100)</f>
        <v>0</v>
      </c>
      <c r="R88" s="200">
        <f>IF(R86=0,0,R87/R86*100)</f>
        <v>0</v>
      </c>
      <c r="S88" s="145"/>
      <c r="T88" s="135">
        <f>IF(T86=0,0,(T87/T86)*100)</f>
        <v>4.9077543922722784</v>
      </c>
      <c r="U88" s="645">
        <f>IF(U86=0,0,(U87/U86)*100)</f>
        <v>8.3098122579626654</v>
      </c>
      <c r="V88" s="163">
        <f>IF(V86=0,0,V87/V86*100)</f>
        <v>0</v>
      </c>
      <c r="W88" s="200">
        <f>IF(W86=0,0,W87/W86*100)</f>
        <v>0</v>
      </c>
      <c r="X88" s="145"/>
      <c r="Y88" s="135">
        <f>IF(Y86=0,0,(Y87/Y86)*100)</f>
        <v>4.9077543922722784</v>
      </c>
      <c r="Z88" s="645">
        <f>IF(Z86=0,0,(Z87/Z86)*100)</f>
        <v>8.3098122579626654</v>
      </c>
      <c r="AA88" s="163">
        <f>IF(AA86=0,0,AA87/AA86*100)</f>
        <v>0</v>
      </c>
      <c r="AB88" s="200">
        <f>IF(AB86=0,0,AB87/AB86*100)</f>
        <v>0</v>
      </c>
      <c r="AC88" s="145"/>
      <c r="AD88" s="135">
        <f>IF(AD86=0,0,(AD87/AD86)*100)</f>
        <v>4.9077543922722784</v>
      </c>
      <c r="AE88" s="645">
        <f>IF(AE86=0,0,(AE87/AE86)*100)</f>
        <v>8.3098122579626654</v>
      </c>
      <c r="AF88" s="163">
        <f>IF(AF86=0,0,AF87/AF86*100)</f>
        <v>0</v>
      </c>
      <c r="AG88" s="200">
        <f>IF(AG86=0,0,AG87/AG86*100)</f>
        <v>0</v>
      </c>
      <c r="AH88" s="145"/>
      <c r="AI88" s="135">
        <f>IF(AI86=0,0,(AI87/AI86)*100)</f>
        <v>4.9077543922722784</v>
      </c>
      <c r="AJ88" s="645">
        <f>IF(AJ86=0,0,(AJ87/AJ86)*100)</f>
        <v>8.3098122579626654</v>
      </c>
      <c r="AK88" s="163">
        <f>IF(AK86=0,0,AK87/AK86*100)</f>
        <v>0</v>
      </c>
      <c r="AL88" s="200">
        <f>IF(AL86=0,0,AL87/AL86*100)</f>
        <v>0</v>
      </c>
      <c r="AM88" s="145"/>
      <c r="AN88" s="135">
        <f>IF(AN86=0,0,(AN87/AN86)*100)</f>
        <v>4.9077543922722784</v>
      </c>
      <c r="AO88" s="645">
        <f>IF(AO86=0,0,(AO87/AO86)*100)</f>
        <v>8.3098122579626654</v>
      </c>
      <c r="AP88" s="163">
        <f>IF(AP86=0,0,AP87/AP86*100)</f>
        <v>0</v>
      </c>
      <c r="AQ88" s="200">
        <f>IF(AQ86=0,0,AQ87/AQ86*100)</f>
        <v>0</v>
      </c>
      <c r="AR88" s="145"/>
      <c r="AS88" s="135">
        <f>IF(AS86=0,0,(AS87/AS86)*100)</f>
        <v>4.9077543922722784</v>
      </c>
      <c r="AT88" s="645">
        <f>IF(AT86=0,0,(AT87/AT86)*100)</f>
        <v>8.3098122579626654</v>
      </c>
      <c r="AU88" s="163">
        <f>IF(AU86=0,0,AU87/AU86*100)</f>
        <v>0</v>
      </c>
      <c r="AV88" s="200">
        <f>IF(AV86=0,0,AV87/AV86*100)</f>
        <v>0</v>
      </c>
      <c r="AW88" s="145"/>
      <c r="AX88" s="135">
        <f>IF(AX86=0,0,(AX87/AX86)*100)</f>
        <v>4.9077543922722784</v>
      </c>
      <c r="AY88" s="645">
        <f>IF(AY86=0,0,(AY87/AY86)*100)</f>
        <v>8.3098122579626654</v>
      </c>
      <c r="AZ88" s="163">
        <f>IF(AZ86=0,0,AZ87/AZ86*100)</f>
        <v>0</v>
      </c>
      <c r="BA88" s="200">
        <f>IF(BA86=0,0,BA87/BA86*100)</f>
        <v>0</v>
      </c>
      <c r="BB88" s="145"/>
      <c r="BC88" s="135">
        <f>IF(BC86=0,0,(BC87/BC86)*100)</f>
        <v>4.9077543922722784</v>
      </c>
      <c r="BD88" s="645">
        <f>IF(BD86=0,0,(BD87/BD86)*100)</f>
        <v>8.3098122579626654</v>
      </c>
      <c r="BE88" s="163">
        <f>IF(BE86=0,0,BE87/BE86*100)</f>
        <v>0</v>
      </c>
      <c r="BF88" s="200">
        <f>IF(BF86=0,0,BF87/BF86*100)</f>
        <v>0</v>
      </c>
      <c r="BG88" s="145"/>
      <c r="BH88" s="135">
        <f>IF(BH86=0,0,(BH87/BH86)*100)</f>
        <v>4.9077543922722784</v>
      </c>
      <c r="BI88" s="645">
        <f>IF(BI86=0,0,(BI87/BI86)*100)</f>
        <v>8.3098122579626654</v>
      </c>
      <c r="BJ88" s="163">
        <f>IF(BJ86=0,0,BJ87/BJ86*100)</f>
        <v>0</v>
      </c>
      <c r="BK88" s="200">
        <f>IF(BK86=0,0,BK87/BK86*100)</f>
        <v>0</v>
      </c>
      <c r="BL88" s="163">
        <f>IF(BL86=0,0,BL87/BL86*100)</f>
        <v>0</v>
      </c>
      <c r="BM88" s="200">
        <f>IF(BM86=0,0,BM87/BM86*100)</f>
        <v>0</v>
      </c>
      <c r="BN88" s="316"/>
      <c r="BO88" s="318"/>
      <c r="BP88" s="318"/>
    </row>
    <row r="89" spans="1:68" x14ac:dyDescent="0.25">
      <c r="A89" s="195"/>
      <c r="B89" s="42" t="s">
        <v>79</v>
      </c>
      <c r="C89" s="45" t="s">
        <v>408</v>
      </c>
      <c r="D89" s="38" t="s">
        <v>109</v>
      </c>
      <c r="E89" s="648">
        <f>Nabídka!G81</f>
        <v>0</v>
      </c>
      <c r="F89" s="649">
        <f>Nabídka!H81</f>
        <v>0</v>
      </c>
      <c r="G89" s="648">
        <v>0</v>
      </c>
      <c r="H89" s="649">
        <v>0</v>
      </c>
      <c r="I89" s="648">
        <v>0</v>
      </c>
      <c r="J89" s="649">
        <v>0</v>
      </c>
      <c r="K89" s="870" t="s">
        <v>407</v>
      </c>
      <c r="L89" s="855"/>
      <c r="O89" s="646">
        <v>0</v>
      </c>
      <c r="P89" s="647">
        <v>0</v>
      </c>
      <c r="Q89" s="648">
        <v>0</v>
      </c>
      <c r="R89" s="649">
        <v>0</v>
      </c>
      <c r="S89" s="145"/>
      <c r="T89" s="646">
        <v>0</v>
      </c>
      <c r="U89" s="647">
        <v>0</v>
      </c>
      <c r="V89" s="648">
        <v>0</v>
      </c>
      <c r="W89" s="649">
        <v>0</v>
      </c>
      <c r="X89" s="145"/>
      <c r="Y89" s="646">
        <v>0</v>
      </c>
      <c r="Z89" s="647">
        <v>0</v>
      </c>
      <c r="AA89" s="648">
        <v>0</v>
      </c>
      <c r="AB89" s="649">
        <v>0</v>
      </c>
      <c r="AC89" s="145"/>
      <c r="AD89" s="646">
        <v>0</v>
      </c>
      <c r="AE89" s="647">
        <v>0</v>
      </c>
      <c r="AF89" s="648">
        <v>0</v>
      </c>
      <c r="AG89" s="649">
        <v>0</v>
      </c>
      <c r="AH89" s="145"/>
      <c r="AI89" s="646">
        <v>0</v>
      </c>
      <c r="AJ89" s="647">
        <v>0</v>
      </c>
      <c r="AK89" s="648">
        <v>0</v>
      </c>
      <c r="AL89" s="649">
        <v>0</v>
      </c>
      <c r="AM89" s="145"/>
      <c r="AN89" s="646">
        <v>0</v>
      </c>
      <c r="AO89" s="647">
        <v>0</v>
      </c>
      <c r="AP89" s="648">
        <v>0</v>
      </c>
      <c r="AQ89" s="649">
        <v>0</v>
      </c>
      <c r="AR89" s="145"/>
      <c r="AS89" s="646">
        <v>0</v>
      </c>
      <c r="AT89" s="647">
        <v>0</v>
      </c>
      <c r="AU89" s="648">
        <v>0</v>
      </c>
      <c r="AV89" s="649">
        <v>0</v>
      </c>
      <c r="AW89" s="145"/>
      <c r="AX89" s="646">
        <v>0</v>
      </c>
      <c r="AY89" s="647">
        <v>0</v>
      </c>
      <c r="AZ89" s="648">
        <v>0</v>
      </c>
      <c r="BA89" s="649">
        <v>0</v>
      </c>
      <c r="BB89" s="145"/>
      <c r="BC89" s="646">
        <v>0</v>
      </c>
      <c r="BD89" s="647">
        <v>0</v>
      </c>
      <c r="BE89" s="648">
        <v>0</v>
      </c>
      <c r="BF89" s="649">
        <v>0</v>
      </c>
      <c r="BG89" s="145"/>
      <c r="BH89" s="646">
        <v>0</v>
      </c>
      <c r="BI89" s="647">
        <v>0</v>
      </c>
      <c r="BJ89" s="648">
        <v>0</v>
      </c>
      <c r="BK89" s="649">
        <v>0</v>
      </c>
      <c r="BL89" s="648">
        <v>0</v>
      </c>
      <c r="BM89" s="649">
        <v>0</v>
      </c>
      <c r="BN89" s="147"/>
      <c r="BO89" s="147"/>
      <c r="BP89" s="317"/>
    </row>
    <row r="90" spans="1:68" x14ac:dyDescent="0.25">
      <c r="A90" s="195"/>
      <c r="B90" s="42" t="s">
        <v>80</v>
      </c>
      <c r="C90" s="386" t="s">
        <v>354</v>
      </c>
      <c r="D90" s="38" t="s">
        <v>109</v>
      </c>
      <c r="E90" s="648">
        <f t="shared" ref="E90:J90" si="77">E87-E89</f>
        <v>2.3999896640999999E-2</v>
      </c>
      <c r="F90" s="649">
        <f t="shared" si="77"/>
        <v>0.100000278</v>
      </c>
      <c r="G90" s="648">
        <f t="shared" si="77"/>
        <v>1.8016360766120544E-2</v>
      </c>
      <c r="H90" s="649">
        <f t="shared" si="77"/>
        <v>7.5068701841095903E-2</v>
      </c>
      <c r="I90" s="648">
        <f t="shared" si="77"/>
        <v>0</v>
      </c>
      <c r="J90" s="649">
        <f t="shared" si="77"/>
        <v>0</v>
      </c>
      <c r="K90" s="870" t="s">
        <v>409</v>
      </c>
      <c r="L90" s="854"/>
      <c r="O90" s="646">
        <f>O87-O89</f>
        <v>2.3999896640999999E-2</v>
      </c>
      <c r="P90" s="647">
        <f t="shared" ref="P90:BM90" si="78">P87-P89</f>
        <v>0.100000278</v>
      </c>
      <c r="Q90" s="648">
        <f t="shared" si="78"/>
        <v>0</v>
      </c>
      <c r="R90" s="649">
        <f t="shared" si="78"/>
        <v>0</v>
      </c>
      <c r="S90" s="145"/>
      <c r="T90" s="646">
        <f t="shared" si="78"/>
        <v>2.3999896640999999E-2</v>
      </c>
      <c r="U90" s="647">
        <f t="shared" si="78"/>
        <v>0.100000278</v>
      </c>
      <c r="V90" s="648">
        <f t="shared" si="78"/>
        <v>0</v>
      </c>
      <c r="W90" s="649">
        <f t="shared" si="78"/>
        <v>0</v>
      </c>
      <c r="X90" s="145"/>
      <c r="Y90" s="646">
        <f t="shared" si="78"/>
        <v>2.3999896640999999E-2</v>
      </c>
      <c r="Z90" s="647">
        <f t="shared" si="78"/>
        <v>0.100000278</v>
      </c>
      <c r="AA90" s="648">
        <f t="shared" si="78"/>
        <v>0</v>
      </c>
      <c r="AB90" s="649">
        <f t="shared" si="78"/>
        <v>0</v>
      </c>
      <c r="AC90" s="145"/>
      <c r="AD90" s="646">
        <f t="shared" si="78"/>
        <v>2.3999896640999999E-2</v>
      </c>
      <c r="AE90" s="647">
        <f t="shared" si="78"/>
        <v>0.100000278</v>
      </c>
      <c r="AF90" s="648">
        <f t="shared" si="78"/>
        <v>0</v>
      </c>
      <c r="AG90" s="649">
        <f t="shared" si="78"/>
        <v>0</v>
      </c>
      <c r="AH90" s="145"/>
      <c r="AI90" s="646">
        <f t="shared" si="78"/>
        <v>2.3999896640999999E-2</v>
      </c>
      <c r="AJ90" s="647">
        <f t="shared" si="78"/>
        <v>0.100000278</v>
      </c>
      <c r="AK90" s="648">
        <f t="shared" si="78"/>
        <v>0</v>
      </c>
      <c r="AL90" s="649">
        <f t="shared" si="78"/>
        <v>0</v>
      </c>
      <c r="AM90" s="145"/>
      <c r="AN90" s="646">
        <f t="shared" si="78"/>
        <v>2.3999896640999999E-2</v>
      </c>
      <c r="AO90" s="647">
        <f t="shared" si="78"/>
        <v>0.100000278</v>
      </c>
      <c r="AP90" s="648">
        <f t="shared" si="78"/>
        <v>0</v>
      </c>
      <c r="AQ90" s="649">
        <f t="shared" si="78"/>
        <v>0</v>
      </c>
      <c r="AR90" s="145"/>
      <c r="AS90" s="646">
        <f t="shared" si="78"/>
        <v>2.3999896640999999E-2</v>
      </c>
      <c r="AT90" s="647">
        <f t="shared" si="78"/>
        <v>0.100000278</v>
      </c>
      <c r="AU90" s="648">
        <f t="shared" si="78"/>
        <v>0</v>
      </c>
      <c r="AV90" s="649">
        <f t="shared" si="78"/>
        <v>0</v>
      </c>
      <c r="AW90" s="145"/>
      <c r="AX90" s="646">
        <f t="shared" si="78"/>
        <v>2.3999896640999999E-2</v>
      </c>
      <c r="AY90" s="647">
        <f t="shared" si="78"/>
        <v>0.100000278</v>
      </c>
      <c r="AZ90" s="648">
        <f t="shared" si="78"/>
        <v>0</v>
      </c>
      <c r="BA90" s="649">
        <f t="shared" si="78"/>
        <v>0</v>
      </c>
      <c r="BB90" s="145"/>
      <c r="BC90" s="646">
        <f t="shared" si="78"/>
        <v>2.3999896640999999E-2</v>
      </c>
      <c r="BD90" s="647">
        <f t="shared" si="78"/>
        <v>0.100000278</v>
      </c>
      <c r="BE90" s="648">
        <f t="shared" si="78"/>
        <v>0</v>
      </c>
      <c r="BF90" s="649">
        <f t="shared" si="78"/>
        <v>0</v>
      </c>
      <c r="BG90" s="145"/>
      <c r="BH90" s="646">
        <f t="shared" si="78"/>
        <v>2.3999896640999999E-2</v>
      </c>
      <c r="BI90" s="647">
        <f t="shared" si="78"/>
        <v>0.100000278</v>
      </c>
      <c r="BJ90" s="648">
        <f t="shared" si="78"/>
        <v>0</v>
      </c>
      <c r="BK90" s="649">
        <f t="shared" si="78"/>
        <v>0</v>
      </c>
      <c r="BL90" s="648">
        <f t="shared" si="78"/>
        <v>0</v>
      </c>
      <c r="BM90" s="649">
        <f t="shared" si="78"/>
        <v>0</v>
      </c>
      <c r="BN90" s="147"/>
      <c r="BO90" s="147"/>
      <c r="BP90" s="317"/>
    </row>
    <row r="91" spans="1:68" x14ac:dyDescent="0.25">
      <c r="A91" s="195"/>
      <c r="B91" s="42" t="s">
        <v>82</v>
      </c>
      <c r="C91" s="38" t="s">
        <v>395</v>
      </c>
      <c r="D91" s="38" t="s">
        <v>109</v>
      </c>
      <c r="E91" s="133">
        <f t="shared" ref="E91:J91" si="79">E86+E87</f>
        <v>0.81899981897099994</v>
      </c>
      <c r="F91" s="134">
        <f t="shared" si="79"/>
        <v>2.1640002460000001</v>
      </c>
      <c r="G91" s="133">
        <f t="shared" si="79"/>
        <v>0.61481082300836709</v>
      </c>
      <c r="H91" s="134">
        <f t="shared" si="79"/>
        <v>1.624482376449315</v>
      </c>
      <c r="I91" s="133">
        <f t="shared" si="79"/>
        <v>0</v>
      </c>
      <c r="J91" s="134">
        <f t="shared" si="79"/>
        <v>0</v>
      </c>
      <c r="K91" s="870" t="s">
        <v>410</v>
      </c>
      <c r="L91" s="855"/>
      <c r="O91" s="133">
        <f>O86+O87</f>
        <v>0.84759981586419997</v>
      </c>
      <c r="P91" s="129">
        <f>P86+P87</f>
        <v>2.2461602447199995</v>
      </c>
      <c r="Q91" s="133">
        <f>Q86+Q87</f>
        <v>0</v>
      </c>
      <c r="R91" s="134">
        <f>R86+R87</f>
        <v>0</v>
      </c>
      <c r="S91" s="145"/>
      <c r="T91" s="133">
        <f>T86+T87</f>
        <v>0.51301981741759994</v>
      </c>
      <c r="U91" s="129">
        <f>U86+U87</f>
        <v>1.30340024536</v>
      </c>
      <c r="V91" s="133">
        <f>V86+V87</f>
        <v>3.7399996259999999E-2</v>
      </c>
      <c r="W91" s="134">
        <f>W86+W87</f>
        <v>0.40799999591999997</v>
      </c>
      <c r="X91" s="145"/>
      <c r="Y91" s="133">
        <f>Y86+Y87</f>
        <v>0.51301981741759994</v>
      </c>
      <c r="Z91" s="129">
        <f>Z86+Z87</f>
        <v>1.30340024536</v>
      </c>
      <c r="AA91" s="133">
        <f>AA86+AA87</f>
        <v>3.7399996259999999E-2</v>
      </c>
      <c r="AB91" s="134">
        <f>AB86+AB87</f>
        <v>0.40799999591999997</v>
      </c>
      <c r="AC91" s="145"/>
      <c r="AD91" s="133">
        <f>AD86+AD87</f>
        <v>0.51301981741759994</v>
      </c>
      <c r="AE91" s="129">
        <f>AE86+AE87</f>
        <v>1.30340024536</v>
      </c>
      <c r="AF91" s="133">
        <f>AF86+AF87</f>
        <v>3.7399996259999999E-2</v>
      </c>
      <c r="AG91" s="134">
        <f>AG86+AG87</f>
        <v>0.40799999591999997</v>
      </c>
      <c r="AH91" s="145"/>
      <c r="AI91" s="133">
        <f>AI86+AI87</f>
        <v>0.51301981741759994</v>
      </c>
      <c r="AJ91" s="129">
        <f>AJ86+AJ87</f>
        <v>1.30340024536</v>
      </c>
      <c r="AK91" s="133">
        <f>AK86+AK87</f>
        <v>3.7399996259999999E-2</v>
      </c>
      <c r="AL91" s="134">
        <f>AL86+AL87</f>
        <v>0.40799999591999997</v>
      </c>
      <c r="AM91" s="145"/>
      <c r="AN91" s="133">
        <f>AN86+AN87</f>
        <v>0.51301981741759994</v>
      </c>
      <c r="AO91" s="129">
        <f>AO86+AO87</f>
        <v>1.30340024536</v>
      </c>
      <c r="AP91" s="133">
        <f>AP86+AP87</f>
        <v>3.7399996259999999E-2</v>
      </c>
      <c r="AQ91" s="134">
        <f>AQ86+AQ87</f>
        <v>0.40799999591999997</v>
      </c>
      <c r="AR91" s="145"/>
      <c r="AS91" s="133">
        <f>AS86+AS87</f>
        <v>0.51301981741759994</v>
      </c>
      <c r="AT91" s="129">
        <f>AT86+AT87</f>
        <v>1.30340024536</v>
      </c>
      <c r="AU91" s="133">
        <f>AU86+AU87</f>
        <v>3.7399996259999999E-2</v>
      </c>
      <c r="AV91" s="134">
        <f>AV86+AV87</f>
        <v>0.40799999591999997</v>
      </c>
      <c r="AW91" s="145"/>
      <c r="AX91" s="133">
        <f>AX86+AX87</f>
        <v>0.51301981741759994</v>
      </c>
      <c r="AY91" s="129">
        <f>AY86+AY87</f>
        <v>1.30340024536</v>
      </c>
      <c r="AZ91" s="133">
        <f>AZ86+AZ87</f>
        <v>3.7399996259999999E-2</v>
      </c>
      <c r="BA91" s="134">
        <f>BA86+BA87</f>
        <v>0.40799999591999997</v>
      </c>
      <c r="BB91" s="145"/>
      <c r="BC91" s="133">
        <f>BC86+BC87</f>
        <v>0.51301981741759994</v>
      </c>
      <c r="BD91" s="129">
        <f>BD86+BD87</f>
        <v>1.30340024536</v>
      </c>
      <c r="BE91" s="133">
        <f>BE86+BE87</f>
        <v>3.7399996259999999E-2</v>
      </c>
      <c r="BF91" s="134">
        <f>BF86+BF87</f>
        <v>0.40799999591999997</v>
      </c>
      <c r="BG91" s="145"/>
      <c r="BH91" s="133">
        <f t="shared" ref="BH91:BM91" si="80">BH86+BH87</f>
        <v>0.51301981741759994</v>
      </c>
      <c r="BI91" s="129">
        <f t="shared" si="80"/>
        <v>1.30340024536</v>
      </c>
      <c r="BJ91" s="133">
        <f t="shared" si="80"/>
        <v>3.7399996259999999E-2</v>
      </c>
      <c r="BK91" s="134">
        <f t="shared" si="80"/>
        <v>0.40799999591999997</v>
      </c>
      <c r="BL91" s="133">
        <f t="shared" si="80"/>
        <v>0</v>
      </c>
      <c r="BM91" s="134">
        <f t="shared" si="80"/>
        <v>0</v>
      </c>
      <c r="BN91" s="147"/>
      <c r="BO91" s="147"/>
      <c r="BP91" s="317"/>
    </row>
    <row r="92" spans="1:68" x14ac:dyDescent="0.25">
      <c r="A92" s="195"/>
      <c r="B92" s="42" t="s">
        <v>83</v>
      </c>
      <c r="C92" s="38" t="s">
        <v>81</v>
      </c>
      <c r="D92" s="38" t="s">
        <v>203</v>
      </c>
      <c r="E92" s="133">
        <f>+IF(E49&lt;&gt;0,E49,IF(E56&lt;&gt;0,E56,E55))</f>
        <v>3.3333330000000001E-2</v>
      </c>
      <c r="F92" s="134">
        <f>+IF((F51+F53)&lt;&gt;0,F51+F53,IF(F56&lt;&gt;0,F56,F55))</f>
        <v>4.3999999999999997E-2</v>
      </c>
      <c r="G92" s="133">
        <f>+IF(G49&lt;&gt;0,G49,IF(G56&lt;&gt;0,G56,G55))</f>
        <v>2.5022828547945207E-2</v>
      </c>
      <c r="H92" s="134">
        <f>+IF((H51+H53)&lt;&gt;0,H51+H53,IF(H56&lt;&gt;0,H56,H55))</f>
        <v>3.3030136986301369E-2</v>
      </c>
      <c r="I92" s="133">
        <f>+IF(I49&lt;&gt;0,I49,IF(I56&lt;&gt;0,I56,I55))</f>
        <v>0</v>
      </c>
      <c r="J92" s="134">
        <f>+IF((J51+J53)&lt;&gt;0,J51+J53,IF(J56&lt;&gt;0,J56,J55))</f>
        <v>0</v>
      </c>
      <c r="K92" s="870" t="s">
        <v>411</v>
      </c>
      <c r="L92" s="855"/>
      <c r="O92" s="128">
        <f>+IF(O49&lt;&gt;0,O49,IF(O56&lt;&gt;0,O56,O55))</f>
        <v>3.3333330000000001E-2</v>
      </c>
      <c r="P92" s="129">
        <f>+IF((P51+P53)&lt;&gt;0,P51+P53,IF(P56&lt;&gt;0,P56,P55))</f>
        <v>4.3999999999999997E-2</v>
      </c>
      <c r="Q92" s="133">
        <f>+IF(Q49&lt;&gt;0,Q49,IF(Q56&lt;&gt;0,Q56,Q55))</f>
        <v>0</v>
      </c>
      <c r="R92" s="134">
        <f>+IF((R51+R53)&lt;&gt;0,R51+R53,IF(R56&lt;&gt;0,R56,R55))</f>
        <v>0</v>
      </c>
      <c r="S92" s="145"/>
      <c r="T92" s="128">
        <f>+IF(T49&lt;&gt;0,T49,IF(T56&lt;&gt;0,T56,T55))</f>
        <v>3.3333330000000001E-2</v>
      </c>
      <c r="U92" s="129">
        <f>+IF((U51+U53)&lt;&gt;0,U51+U53,IF(U56&lt;&gt;0,U56,U55))</f>
        <v>4.3999999999999997E-2</v>
      </c>
      <c r="V92" s="133">
        <f>+IF(V49&lt;&gt;0,V49,IF(V56&lt;&gt;0,V56,V55))</f>
        <v>0</v>
      </c>
      <c r="W92" s="134">
        <f>+IF((W51+W53)&lt;&gt;0,W51+W53,IF(W56&lt;&gt;0,W56,W55))</f>
        <v>0</v>
      </c>
      <c r="X92" s="145"/>
      <c r="Y92" s="128">
        <f>+IF(Y49&lt;&gt;0,Y49,IF(Y56&lt;&gt;0,Y56,Y55))</f>
        <v>3.3333330000000001E-2</v>
      </c>
      <c r="Z92" s="129">
        <f>+IF((Z51+Z53)&lt;&gt;0,Z51+Z53,IF(Z56&lt;&gt;0,Z56,Z55))</f>
        <v>4.3999999999999997E-2</v>
      </c>
      <c r="AA92" s="133">
        <f>+IF(AA49&lt;&gt;0,AA49,IF(AA56&lt;&gt;0,AA56,AA55))</f>
        <v>0</v>
      </c>
      <c r="AB92" s="134">
        <f>+IF((AB51+AB53)&lt;&gt;0,AB51+AB53,IF(AB56&lt;&gt;0,AB56,AB55))</f>
        <v>0</v>
      </c>
      <c r="AC92" s="145"/>
      <c r="AD92" s="128">
        <f>+IF(AD49&lt;&gt;0,AD49,IF(AD56&lt;&gt;0,AD56,AD55))</f>
        <v>3.3333330000000001E-2</v>
      </c>
      <c r="AE92" s="129">
        <f>+IF((AE51+AE53)&lt;&gt;0,AE51+AE53,IF(AE56&lt;&gt;0,AE56,AE55))</f>
        <v>4.3999999999999997E-2</v>
      </c>
      <c r="AF92" s="133">
        <f>+IF(AF49&lt;&gt;0,AF49,IF(AF56&lt;&gt;0,AF56,AF55))</f>
        <v>0</v>
      </c>
      <c r="AG92" s="134">
        <f>+IF((AG51+AG53)&lt;&gt;0,AG51+AG53,IF(AG56&lt;&gt;0,AG56,AG55))</f>
        <v>0</v>
      </c>
      <c r="AH92" s="145"/>
      <c r="AI92" s="128">
        <f>+IF(AI49&lt;&gt;0,AI49,IF(AI56&lt;&gt;0,AI56,AI55))</f>
        <v>3.3333330000000001E-2</v>
      </c>
      <c r="AJ92" s="129">
        <f>+IF((AJ51+AJ53)&lt;&gt;0,AJ51+AJ53,IF(AJ56&lt;&gt;0,AJ56,AJ55))</f>
        <v>4.3999999999999997E-2</v>
      </c>
      <c r="AK92" s="133">
        <f>+IF(AK49&lt;&gt;0,AK49,IF(AK56&lt;&gt;0,AK56,AK55))</f>
        <v>0</v>
      </c>
      <c r="AL92" s="134">
        <f>+IF((AL51+AL53)&lt;&gt;0,AL51+AL53,IF(AL56&lt;&gt;0,AL56,AL55))</f>
        <v>0</v>
      </c>
      <c r="AM92" s="145"/>
      <c r="AN92" s="128">
        <f>+IF(AN49&lt;&gt;0,AN49,IF(AN56&lt;&gt;0,AN56,AN55))</f>
        <v>3.3333330000000001E-2</v>
      </c>
      <c r="AO92" s="129">
        <f>+IF((AO51+AO53)&lt;&gt;0,AO51+AO53,IF(AO56&lt;&gt;0,AO56,AO55))</f>
        <v>4.3999999999999997E-2</v>
      </c>
      <c r="AP92" s="133">
        <f>+IF(AP49&lt;&gt;0,AP49,IF(AP56&lt;&gt;0,AP56,AP55))</f>
        <v>0</v>
      </c>
      <c r="AQ92" s="134">
        <f>+IF((AQ51+AQ53)&lt;&gt;0,AQ51+AQ53,IF(AQ56&lt;&gt;0,AQ56,AQ55))</f>
        <v>0</v>
      </c>
      <c r="AR92" s="145"/>
      <c r="AS92" s="128">
        <f>+IF(AS49&lt;&gt;0,AS49,IF(AS56&lt;&gt;0,AS56,AS55))</f>
        <v>3.3333330000000001E-2</v>
      </c>
      <c r="AT92" s="129">
        <f>+IF((AT51+AT53)&lt;&gt;0,AT51+AT53,IF(AT56&lt;&gt;0,AT56,AT55))</f>
        <v>4.3999999999999997E-2</v>
      </c>
      <c r="AU92" s="133">
        <f>+IF(AU49&lt;&gt;0,AU49,IF(AU56&lt;&gt;0,AU56,AU55))</f>
        <v>0</v>
      </c>
      <c r="AV92" s="134">
        <f>+IF((AV51+AV53)&lt;&gt;0,AV51+AV53,IF(AV56&lt;&gt;0,AV56,AV55))</f>
        <v>0</v>
      </c>
      <c r="AW92" s="145"/>
      <c r="AX92" s="128">
        <f>+IF(AX49&lt;&gt;0,AX49,IF(AX56&lt;&gt;0,AX56,AX55))</f>
        <v>3.3333330000000001E-2</v>
      </c>
      <c r="AY92" s="129">
        <f>+IF((AY51+AY53)&lt;&gt;0,AY51+AY53,IF(AY56&lt;&gt;0,AY56,AY55))</f>
        <v>4.3999999999999997E-2</v>
      </c>
      <c r="AZ92" s="133">
        <f>+IF(AZ49&lt;&gt;0,AZ49,IF(AZ56&lt;&gt;0,AZ56,AZ55))</f>
        <v>0</v>
      </c>
      <c r="BA92" s="134">
        <f>+IF((BA51+BA53)&lt;&gt;0,BA51+BA53,IF(BA56&lt;&gt;0,BA56,BA55))</f>
        <v>0</v>
      </c>
      <c r="BB92" s="145"/>
      <c r="BC92" s="128">
        <f>+IF(BC49&lt;&gt;0,BC49,IF(BC56&lt;&gt;0,BC56,BC55))</f>
        <v>3.3333330000000001E-2</v>
      </c>
      <c r="BD92" s="129">
        <f>+IF((BD51+BD53)&lt;&gt;0,BD51+BD53,IF(BD56&lt;&gt;0,BD56,BD55))</f>
        <v>4.3999999999999997E-2</v>
      </c>
      <c r="BE92" s="133">
        <f>+IF(BE49&lt;&gt;0,BE49,IF(BE56&lt;&gt;0,BE56,BE55))</f>
        <v>0</v>
      </c>
      <c r="BF92" s="134">
        <f>+IF((BF51+BF53)&lt;&gt;0,BF51+BF53,IF(BF56&lt;&gt;0,BF56,BF55))</f>
        <v>0</v>
      </c>
      <c r="BG92" s="145"/>
      <c r="BH92" s="128">
        <f>+IF(BH49&lt;&gt;0,BH49,IF(BH56&lt;&gt;0,BH56,BH55))</f>
        <v>3.3333330000000001E-2</v>
      </c>
      <c r="BI92" s="129">
        <f>+IF((BI51+BI53)&lt;&gt;0,BI51+BI53,IF(BI56&lt;&gt;0,BI56,BI55))</f>
        <v>4.3999999999999997E-2</v>
      </c>
      <c r="BJ92" s="133">
        <f>+IF(BJ49&lt;&gt;0,BJ49,IF(BJ56&lt;&gt;0,BJ56,BJ55))</f>
        <v>0</v>
      </c>
      <c r="BK92" s="134">
        <f>+IF((BK51+BK53)&lt;&gt;0,BK51+BK53,IF(BK56&lt;&gt;0,BK56,BK55))</f>
        <v>0</v>
      </c>
      <c r="BL92" s="128">
        <f>+IF(BL49&lt;&gt;0,BL49,IF(BL56&lt;&gt;0,BL56,BL55))</f>
        <v>0</v>
      </c>
      <c r="BM92" s="129">
        <f>+IF((BM51+BM53)&lt;&gt;0,BM51+BM53,IF(BM56&lt;&gt;0,BM56,BM55))</f>
        <v>0</v>
      </c>
      <c r="BN92" s="147"/>
      <c r="BO92" s="147"/>
      <c r="BP92" s="317"/>
    </row>
    <row r="93" spans="1:68" x14ac:dyDescent="0.25">
      <c r="A93" s="195"/>
      <c r="B93" s="42" t="s">
        <v>155</v>
      </c>
      <c r="C93" s="38" t="s">
        <v>393</v>
      </c>
      <c r="D93" s="38" t="s">
        <v>73</v>
      </c>
      <c r="E93" s="139">
        <f t="shared" ref="E93:J93" si="81">IF(E92=0,0,E91/E92)</f>
        <v>24.569997026129698</v>
      </c>
      <c r="F93" s="140">
        <f t="shared" si="81"/>
        <v>49.181823772727277</v>
      </c>
      <c r="G93" s="142">
        <f t="shared" si="81"/>
        <v>24.569997026129698</v>
      </c>
      <c r="H93" s="143">
        <f t="shared" si="81"/>
        <v>49.18182377272727</v>
      </c>
      <c r="I93" s="142">
        <f t="shared" si="81"/>
        <v>0</v>
      </c>
      <c r="J93" s="143">
        <f t="shared" si="81"/>
        <v>0</v>
      </c>
      <c r="K93" s="870" t="s">
        <v>412</v>
      </c>
      <c r="L93" s="855"/>
      <c r="O93" s="142">
        <f>IF(O92=0,0,O91/O92)</f>
        <v>25.427997018725701</v>
      </c>
      <c r="P93" s="143">
        <f>IF(P92=0,0,P91/P92)</f>
        <v>51.049096470909085</v>
      </c>
      <c r="Q93" s="142">
        <f>IF(Q92=0,0,Q91/Q92)</f>
        <v>0</v>
      </c>
      <c r="R93" s="143">
        <f>IF(R92=0,0,R91/R92)</f>
        <v>0</v>
      </c>
      <c r="S93" s="145"/>
      <c r="T93" s="142">
        <f>IF(T92=0,0,T91/T92)</f>
        <v>15.390596061587605</v>
      </c>
      <c r="U93" s="143">
        <f>IF(U92=0,0,U91/U92)</f>
        <v>29.622732849090909</v>
      </c>
      <c r="V93" s="142">
        <f>IF(V92=0,0,V91/V92)</f>
        <v>0</v>
      </c>
      <c r="W93" s="143">
        <f>IF(W92=0,0,W91/W92)</f>
        <v>0</v>
      </c>
      <c r="X93" s="145"/>
      <c r="Y93" s="142">
        <f>IF(Y92=0,0,Y91/Y92)</f>
        <v>15.390596061587605</v>
      </c>
      <c r="Z93" s="143">
        <f>IF(Z92=0,0,Z91/Z92)</f>
        <v>29.622732849090909</v>
      </c>
      <c r="AA93" s="142">
        <f>IF(AA92=0,0,AA91/AA92)</f>
        <v>0</v>
      </c>
      <c r="AB93" s="143">
        <f>IF(AB92=0,0,AB91/AB92)</f>
        <v>0</v>
      </c>
      <c r="AC93" s="145"/>
      <c r="AD93" s="142">
        <f>IF(AD92=0,0,AD91/AD92)</f>
        <v>15.390596061587605</v>
      </c>
      <c r="AE93" s="143">
        <f>IF(AE92=0,0,AE91/AE92)</f>
        <v>29.622732849090909</v>
      </c>
      <c r="AF93" s="142">
        <f>IF(AF92=0,0,AF91/AF92)</f>
        <v>0</v>
      </c>
      <c r="AG93" s="143">
        <f>IF(AG92=0,0,AG91/AG92)</f>
        <v>0</v>
      </c>
      <c r="AH93" s="145"/>
      <c r="AI93" s="142">
        <f>IF(AI92=0,0,AI91/AI92)</f>
        <v>15.390596061587605</v>
      </c>
      <c r="AJ93" s="143">
        <f>IF(AJ92=0,0,AJ91/AJ92)</f>
        <v>29.622732849090909</v>
      </c>
      <c r="AK93" s="142">
        <f>IF(AK92=0,0,AK91/AK92)</f>
        <v>0</v>
      </c>
      <c r="AL93" s="143">
        <f>IF(AL92=0,0,AL91/AL92)</f>
        <v>0</v>
      </c>
      <c r="AM93" s="145"/>
      <c r="AN93" s="142">
        <f>IF(AN92=0,0,AN91/AN92)</f>
        <v>15.390596061587605</v>
      </c>
      <c r="AO93" s="143">
        <f>IF(AO92=0,0,AO91/AO92)</f>
        <v>29.622732849090909</v>
      </c>
      <c r="AP93" s="142">
        <f>IF(AP92=0,0,AP91/AP92)</f>
        <v>0</v>
      </c>
      <c r="AQ93" s="143">
        <f>IF(AQ92=0,0,AQ91/AQ92)</f>
        <v>0</v>
      </c>
      <c r="AR93" s="145"/>
      <c r="AS93" s="142">
        <f>IF(AS92=0,0,AS91/AS92)</f>
        <v>15.390596061587605</v>
      </c>
      <c r="AT93" s="143">
        <f>IF(AT92=0,0,AT91/AT92)</f>
        <v>29.622732849090909</v>
      </c>
      <c r="AU93" s="142">
        <f>IF(AU92=0,0,AU91/AU92)</f>
        <v>0</v>
      </c>
      <c r="AV93" s="143">
        <f>IF(AV92=0,0,AV91/AV92)</f>
        <v>0</v>
      </c>
      <c r="AW93" s="145"/>
      <c r="AX93" s="142">
        <f>IF(AX92=0,0,AX91/AX92)</f>
        <v>15.390596061587605</v>
      </c>
      <c r="AY93" s="143">
        <f>IF(AY92=0,0,AY91/AY92)</f>
        <v>29.622732849090909</v>
      </c>
      <c r="AZ93" s="142">
        <f>IF(AZ92=0,0,AZ91/AZ92)</f>
        <v>0</v>
      </c>
      <c r="BA93" s="143">
        <f>IF(BA92=0,0,BA91/BA92)</f>
        <v>0</v>
      </c>
      <c r="BB93" s="145"/>
      <c r="BC93" s="142">
        <f>IF(BC92=0,0,BC91/BC92)</f>
        <v>15.390596061587605</v>
      </c>
      <c r="BD93" s="143">
        <f>IF(BD92=0,0,BD91/BD92)</f>
        <v>29.622732849090909</v>
      </c>
      <c r="BE93" s="142">
        <f>IF(BE92=0,0,BE91/BE92)</f>
        <v>0</v>
      </c>
      <c r="BF93" s="143">
        <f>IF(BF92=0,0,BF91/BF92)</f>
        <v>0</v>
      </c>
      <c r="BG93" s="145"/>
      <c r="BH93" s="142">
        <f t="shared" ref="BH93:BM93" si="82">IF(BH92=0,0,BH91/BH92)</f>
        <v>15.390596061587605</v>
      </c>
      <c r="BI93" s="143">
        <f t="shared" si="82"/>
        <v>29.622732849090909</v>
      </c>
      <c r="BJ93" s="142">
        <f t="shared" si="82"/>
        <v>0</v>
      </c>
      <c r="BK93" s="143">
        <f t="shared" si="82"/>
        <v>0</v>
      </c>
      <c r="BL93" s="142">
        <f t="shared" si="82"/>
        <v>0</v>
      </c>
      <c r="BM93" s="143">
        <f t="shared" si="82"/>
        <v>0</v>
      </c>
      <c r="BN93" s="319"/>
      <c r="BO93" s="319"/>
      <c r="BP93" s="319"/>
    </row>
    <row r="94" spans="1:68" ht="15.75" thickBot="1" x14ac:dyDescent="0.3">
      <c r="A94" s="195"/>
      <c r="B94" s="42" t="s">
        <v>355</v>
      </c>
      <c r="C94" s="638" t="s">
        <v>392</v>
      </c>
      <c r="D94" s="639" t="s">
        <v>73</v>
      </c>
      <c r="E94" s="141">
        <f>E93*(1+E97)</f>
        <v>27.518396669265265</v>
      </c>
      <c r="F94" s="616">
        <f>F93*(1+F97)</f>
        <v>55.083642625454559</v>
      </c>
      <c r="G94" s="141">
        <f>G93*(1+E97)</f>
        <v>27.518396669265265</v>
      </c>
      <c r="H94" s="144">
        <f>H93*(1+F97)</f>
        <v>55.083642625454544</v>
      </c>
      <c r="I94" s="141">
        <f>I93*(1+I97)</f>
        <v>0</v>
      </c>
      <c r="J94" s="144">
        <f>J93*(1+J97)</f>
        <v>0</v>
      </c>
      <c r="K94" s="870" t="s">
        <v>413</v>
      </c>
      <c r="L94" s="855"/>
      <c r="O94" s="650">
        <f>O93*(1+O97)</f>
        <v>27.970796720598273</v>
      </c>
      <c r="P94" s="144">
        <f>P93*(1+P97)</f>
        <v>56.154006117999998</v>
      </c>
      <c r="Q94" s="141">
        <f>Q93*(1+Q97)</f>
        <v>0</v>
      </c>
      <c r="R94" s="144">
        <f>R93*(1+R97)</f>
        <v>0</v>
      </c>
      <c r="S94" s="145"/>
      <c r="T94" s="650">
        <f>T93*(1+T97)</f>
        <v>16.929655667746367</v>
      </c>
      <c r="U94" s="144">
        <f>U93*(1+U97)</f>
        <v>32.585006134000004</v>
      </c>
      <c r="V94" s="141">
        <f>V93*(1+V97)</f>
        <v>0</v>
      </c>
      <c r="W94" s="144">
        <f>W93*(1+W97)</f>
        <v>0</v>
      </c>
      <c r="X94" s="145"/>
      <c r="Y94" s="650">
        <f>Y93*(1+Y97)</f>
        <v>16.929655667746367</v>
      </c>
      <c r="Z94" s="144">
        <f>Z93*(1+Z97)</f>
        <v>32.585006134000004</v>
      </c>
      <c r="AA94" s="141">
        <f>AA93*(1+AA97)</f>
        <v>0</v>
      </c>
      <c r="AB94" s="144">
        <f>AB93*(1+AB97)</f>
        <v>0</v>
      </c>
      <c r="AC94" s="145"/>
      <c r="AD94" s="650">
        <f>AD93*(1+AD97)</f>
        <v>16.929655667746367</v>
      </c>
      <c r="AE94" s="144">
        <f>AE93*(1+AE97)</f>
        <v>32.585006134000004</v>
      </c>
      <c r="AF94" s="141">
        <f>AF93*(1+AF97)</f>
        <v>0</v>
      </c>
      <c r="AG94" s="144">
        <f>AG93*(1+AG97)</f>
        <v>0</v>
      </c>
      <c r="AH94" s="145"/>
      <c r="AI94" s="650">
        <f>AI93*(1+AI97)</f>
        <v>16.929655667746367</v>
      </c>
      <c r="AJ94" s="144">
        <f>AJ93*(1+AJ97)</f>
        <v>32.585006134000004</v>
      </c>
      <c r="AK94" s="141">
        <f>AK93*(1+AK97)</f>
        <v>0</v>
      </c>
      <c r="AL94" s="144">
        <f>AL93*(1+AL97)</f>
        <v>0</v>
      </c>
      <c r="AM94" s="145"/>
      <c r="AN94" s="650">
        <f>AN93*(1+AN97)</f>
        <v>16.929655667746367</v>
      </c>
      <c r="AO94" s="144">
        <f>AO93*(1+AO97)</f>
        <v>32.585006134000004</v>
      </c>
      <c r="AP94" s="141">
        <f>AP93*(1+AP97)</f>
        <v>0</v>
      </c>
      <c r="AQ94" s="144">
        <f>AQ93*(1+AQ97)</f>
        <v>0</v>
      </c>
      <c r="AR94" s="145"/>
      <c r="AS94" s="650">
        <f>AS93*(1+AS97)</f>
        <v>16.929655667746367</v>
      </c>
      <c r="AT94" s="144">
        <f>AT93*(1+AT97)</f>
        <v>32.585006134000004</v>
      </c>
      <c r="AU94" s="141">
        <f>AU93*(1+AU97)</f>
        <v>0</v>
      </c>
      <c r="AV94" s="144">
        <f>AV93*(1+AV97)</f>
        <v>0</v>
      </c>
      <c r="AW94" s="145"/>
      <c r="AX94" s="650">
        <f>AX93*(1+AX97)</f>
        <v>16.929655667746367</v>
      </c>
      <c r="AY94" s="144">
        <f>AY93*(1+AY97)</f>
        <v>32.585006134000004</v>
      </c>
      <c r="AZ94" s="141">
        <f>AZ93*(1+AZ97)</f>
        <v>0</v>
      </c>
      <c r="BA94" s="144">
        <f>BA93*(1+BA97)</f>
        <v>0</v>
      </c>
      <c r="BB94" s="145"/>
      <c r="BC94" s="650">
        <f>BC93*(1+BC97)</f>
        <v>16.929655667746367</v>
      </c>
      <c r="BD94" s="144">
        <f>BD93*(1+BD97)</f>
        <v>32.585006134000004</v>
      </c>
      <c r="BE94" s="141">
        <f>BE93*(1+BE97)</f>
        <v>0</v>
      </c>
      <c r="BF94" s="144">
        <f>BF93*(1+BF97)</f>
        <v>0</v>
      </c>
      <c r="BG94" s="145"/>
      <c r="BH94" s="650">
        <f t="shared" ref="BH94:BM94" si="83">BH93*(1+BH97)</f>
        <v>16.929655667746367</v>
      </c>
      <c r="BI94" s="144">
        <f t="shared" si="83"/>
        <v>32.585006134000004</v>
      </c>
      <c r="BJ94" s="141">
        <f t="shared" si="83"/>
        <v>0</v>
      </c>
      <c r="BK94" s="144">
        <f t="shared" si="83"/>
        <v>0</v>
      </c>
      <c r="BL94" s="141">
        <f t="shared" si="83"/>
        <v>0</v>
      </c>
      <c r="BM94" s="144">
        <f t="shared" si="83"/>
        <v>0</v>
      </c>
      <c r="BN94" s="319"/>
      <c r="BO94" s="319"/>
      <c r="BP94" s="319"/>
    </row>
    <row r="95" spans="1:68" x14ac:dyDescent="0.25"/>
    <row r="96" spans="1:68" x14ac:dyDescent="0.25">
      <c r="A96" s="195"/>
      <c r="B96" s="499"/>
      <c r="C96" s="145"/>
      <c r="D96" s="500"/>
      <c r="E96" s="112"/>
      <c r="F96" s="112"/>
      <c r="G96" s="113"/>
      <c r="H96" s="113"/>
      <c r="I96" s="113"/>
      <c r="J96" s="499"/>
      <c r="K96" s="499"/>
      <c r="L96" s="96"/>
      <c r="M96" s="96"/>
      <c r="N96" s="96"/>
      <c r="O96" s="145"/>
      <c r="P96" s="145"/>
      <c r="Q96" s="145"/>
      <c r="R96" s="145"/>
      <c r="S96" s="145"/>
      <c r="T96" s="145"/>
      <c r="U96" s="145"/>
      <c r="V96" s="145"/>
      <c r="W96" s="145"/>
      <c r="X96" s="145"/>
      <c r="Y96" s="145"/>
      <c r="Z96" s="145"/>
      <c r="AA96" s="145"/>
      <c r="AB96" s="145"/>
      <c r="AC96" s="145"/>
      <c r="AD96" s="145"/>
      <c r="AE96" s="145"/>
      <c r="AF96" s="145"/>
      <c r="AG96" s="145"/>
      <c r="BN96" s="252"/>
      <c r="BO96" s="252"/>
      <c r="BP96" s="252"/>
    </row>
    <row r="97" spans="1:68" x14ac:dyDescent="0.25">
      <c r="A97" s="195"/>
      <c r="B97" s="876" t="s">
        <v>225</v>
      </c>
      <c r="C97" s="1033"/>
      <c r="D97" s="1034"/>
      <c r="E97" s="257">
        <f>Nabídka!G89</f>
        <v>0.12</v>
      </c>
      <c r="F97" s="258">
        <f>Nabídka!H89</f>
        <v>0.12</v>
      </c>
      <c r="G97" s="1035"/>
      <c r="H97" s="1035"/>
      <c r="I97" s="258">
        <f>E97</f>
        <v>0.12</v>
      </c>
      <c r="J97" s="258">
        <f>F97</f>
        <v>0.12</v>
      </c>
      <c r="K97" s="1035"/>
      <c r="L97" s="1035"/>
      <c r="M97" s="1035"/>
      <c r="N97" s="1035"/>
      <c r="O97" s="455">
        <v>0.1</v>
      </c>
      <c r="P97" s="455">
        <v>0.1</v>
      </c>
      <c r="Q97" s="258">
        <f>O97</f>
        <v>0.1</v>
      </c>
      <c r="R97" s="258">
        <f>P97</f>
        <v>0.1</v>
      </c>
      <c r="S97" s="263"/>
      <c r="T97" s="455">
        <v>0.1</v>
      </c>
      <c r="U97" s="455">
        <v>0.1</v>
      </c>
      <c r="V97" s="258">
        <f>T97</f>
        <v>0.1</v>
      </c>
      <c r="W97" s="258">
        <f>U97</f>
        <v>0.1</v>
      </c>
      <c r="X97" s="263"/>
      <c r="Y97" s="455">
        <v>0.1</v>
      </c>
      <c r="Z97" s="455">
        <v>0.1</v>
      </c>
      <c r="AA97" s="258">
        <f>Y97</f>
        <v>0.1</v>
      </c>
      <c r="AB97" s="258">
        <f>Z97</f>
        <v>0.1</v>
      </c>
      <c r="AC97" s="263"/>
      <c r="AD97" s="455">
        <v>0.1</v>
      </c>
      <c r="AE97" s="455">
        <v>0.1</v>
      </c>
      <c r="AF97" s="258">
        <f>AD97</f>
        <v>0.1</v>
      </c>
      <c r="AG97" s="258">
        <f>AE97</f>
        <v>0.1</v>
      </c>
      <c r="AH97" s="263"/>
      <c r="AI97" s="455">
        <v>0.1</v>
      </c>
      <c r="AJ97" s="455">
        <v>0.1</v>
      </c>
      <c r="AK97" s="258">
        <f>AI97</f>
        <v>0.1</v>
      </c>
      <c r="AL97" s="258">
        <f>AJ97</f>
        <v>0.1</v>
      </c>
      <c r="AM97" s="263"/>
      <c r="AN97" s="455">
        <v>0.1</v>
      </c>
      <c r="AO97" s="455">
        <v>0.1</v>
      </c>
      <c r="AP97" s="258">
        <f>AN97</f>
        <v>0.1</v>
      </c>
      <c r="AQ97" s="258">
        <f>AO97</f>
        <v>0.1</v>
      </c>
      <c r="AR97" s="263"/>
      <c r="AS97" s="455">
        <v>0.1</v>
      </c>
      <c r="AT97" s="455">
        <v>0.1</v>
      </c>
      <c r="AU97" s="258">
        <f>AS97</f>
        <v>0.1</v>
      </c>
      <c r="AV97" s="258">
        <f>AT97</f>
        <v>0.1</v>
      </c>
      <c r="AW97" s="263"/>
      <c r="AX97" s="455">
        <v>0.1</v>
      </c>
      <c r="AY97" s="455">
        <v>0.1</v>
      </c>
      <c r="AZ97" s="258">
        <f>AX97</f>
        <v>0.1</v>
      </c>
      <c r="BA97" s="258">
        <f>AY97</f>
        <v>0.1</v>
      </c>
      <c r="BB97" s="263"/>
      <c r="BC97" s="455">
        <v>0.1</v>
      </c>
      <c r="BD97" s="455">
        <v>0.1</v>
      </c>
      <c r="BE97" s="258">
        <f>BC97</f>
        <v>0.1</v>
      </c>
      <c r="BF97" s="258">
        <f>BD97</f>
        <v>0.1</v>
      </c>
      <c r="BG97" s="263"/>
      <c r="BH97" s="455">
        <v>0.1</v>
      </c>
      <c r="BI97" s="455">
        <v>0.1</v>
      </c>
      <c r="BJ97" s="258">
        <f>BH97</f>
        <v>0.1</v>
      </c>
      <c r="BK97" s="311">
        <f>BI97</f>
        <v>0.1</v>
      </c>
      <c r="BL97" s="257">
        <f>IF(AND(DAY(Postup!$H$25)=31,MONTH(Postup!$H$25)=12),0,INDEX($E97:$BK97,MATCH($BL$57,$E$57:$BK$57,0)))</f>
        <v>0</v>
      </c>
      <c r="BM97" s="258">
        <f>IF(AND(DAY(Postup!$H$25)=31,MONTH(Postup!$H$25)=12),0,INDEX($E97:$BP97,MATCH($BM$57,$E$57:$BP$57,0)))</f>
        <v>0</v>
      </c>
      <c r="BN97" s="320"/>
      <c r="BO97" s="320"/>
      <c r="BP97" s="320"/>
    </row>
    <row r="98" spans="1:68" x14ac:dyDescent="0.25">
      <c r="A98" s="195"/>
      <c r="B98" s="48"/>
      <c r="C98" s="145"/>
      <c r="D98" s="114"/>
      <c r="E98" s="114"/>
      <c r="F98" s="197"/>
      <c r="G98" s="197"/>
      <c r="H98" s="197"/>
      <c r="I98" s="197"/>
      <c r="J98" s="145"/>
      <c r="K98" s="145"/>
      <c r="L98" s="145"/>
      <c r="M98" s="48"/>
      <c r="N98" s="48"/>
      <c r="O98" s="145"/>
      <c r="P98" s="145"/>
      <c r="Q98" s="145"/>
      <c r="R98" s="145"/>
      <c r="S98" s="145"/>
      <c r="T98" s="145"/>
      <c r="U98" s="145"/>
      <c r="V98" s="145"/>
      <c r="W98" s="145"/>
      <c r="X98" s="145"/>
      <c r="Y98" s="145"/>
      <c r="Z98" s="145"/>
      <c r="AA98" s="145"/>
      <c r="AB98" s="145"/>
      <c r="AC98" s="145"/>
      <c r="AD98" s="145"/>
      <c r="AE98" s="145"/>
      <c r="AF98" s="145"/>
      <c r="AG98" s="145"/>
      <c r="BL98" s="252"/>
      <c r="BM98" s="252"/>
      <c r="BN98" s="252"/>
      <c r="BO98" s="252"/>
      <c r="BP98" s="252"/>
    </row>
    <row r="99" spans="1:68" x14ac:dyDescent="0.25">
      <c r="A99" s="195"/>
      <c r="B99" s="754"/>
      <c r="C99" s="755"/>
      <c r="D99" s="756"/>
      <c r="E99" s="757"/>
      <c r="F99" s="757"/>
      <c r="G99" s="758"/>
      <c r="H99" s="758"/>
      <c r="I99" s="757"/>
      <c r="J99" s="757"/>
      <c r="K99" s="755"/>
      <c r="L99" s="755"/>
      <c r="M99" s="754"/>
      <c r="N99" s="754"/>
      <c r="O99" s="759"/>
      <c r="P99" s="757"/>
      <c r="Q99" s="759"/>
      <c r="R99" s="757"/>
      <c r="S99" s="755"/>
      <c r="T99" s="759"/>
      <c r="U99" s="757"/>
      <c r="V99" s="759"/>
      <c r="W99" s="757"/>
      <c r="X99" s="755"/>
      <c r="Y99" s="759"/>
      <c r="Z99" s="757"/>
      <c r="AA99" s="759"/>
      <c r="AB99" s="757"/>
      <c r="AC99" s="755"/>
      <c r="AD99" s="759"/>
      <c r="AE99" s="757"/>
      <c r="AF99" s="759"/>
      <c r="AG99" s="757"/>
      <c r="AH99" s="333"/>
      <c r="AI99" s="759"/>
      <c r="AJ99" s="757"/>
      <c r="AK99" s="759"/>
      <c r="AL99" s="757"/>
      <c r="AM99" s="333"/>
      <c r="AN99" s="759"/>
      <c r="AO99" s="757"/>
      <c r="AP99" s="759"/>
      <c r="AQ99" s="757"/>
      <c r="AR99" s="333"/>
      <c r="AS99" s="759"/>
      <c r="AT99" s="757"/>
      <c r="AU99" s="759"/>
      <c r="AV99" s="757"/>
      <c r="AW99" s="333"/>
      <c r="AX99" s="759"/>
      <c r="AY99" s="757"/>
      <c r="AZ99" s="759"/>
      <c r="BA99" s="757"/>
      <c r="BB99" s="333"/>
      <c r="BC99" s="759"/>
      <c r="BD99" s="757"/>
      <c r="BE99" s="759"/>
      <c r="BF99" s="757"/>
      <c r="BG99" s="333"/>
      <c r="BH99" s="759"/>
      <c r="BI99" s="757"/>
      <c r="BJ99" s="753"/>
      <c r="BK99" s="749"/>
      <c r="BL99" s="252"/>
      <c r="BM99" s="252"/>
      <c r="BN99" s="252"/>
      <c r="BO99" s="252"/>
      <c r="BP99" s="252"/>
    </row>
    <row r="100" spans="1:68" x14ac:dyDescent="0.25">
      <c r="A100" s="195"/>
      <c r="B100" s="1008" t="s">
        <v>241</v>
      </c>
      <c r="C100" s="1009"/>
      <c r="D100" s="1009"/>
      <c r="E100" s="352">
        <f>'Kalkulace a Porovnání'!AG52</f>
        <v>0</v>
      </c>
      <c r="F100" s="270">
        <f>'Kalkulace a Porovnání'!AH52</f>
        <v>0</v>
      </c>
      <c r="G100" s="1044"/>
      <c r="H100" s="1045"/>
      <c r="I100" s="1045"/>
      <c r="J100" s="1045"/>
      <c r="K100" s="1045"/>
      <c r="L100" s="1045"/>
      <c r="M100" s="1045"/>
      <c r="N100" s="1046"/>
      <c r="O100" s="352">
        <f>'Kalkulace a Porovnání'!AG128</f>
        <v>0</v>
      </c>
      <c r="P100" s="352">
        <f>'Kalkulace a Porovnání'!AH128</f>
        <v>0</v>
      </c>
      <c r="Q100" s="750"/>
      <c r="R100" s="751"/>
      <c r="S100" s="752"/>
      <c r="T100" s="270">
        <f>'Kalkulace a Porovnání'!AG204</f>
        <v>0</v>
      </c>
      <c r="U100" s="270">
        <f>'Kalkulace a Porovnání'!AH204</f>
        <v>0</v>
      </c>
      <c r="V100" s="551"/>
      <c r="W100" s="552"/>
      <c r="X100" s="553"/>
      <c r="Y100" s="270">
        <f>'Kalkulace a Porovnání'!AG280</f>
        <v>0</v>
      </c>
      <c r="Z100" s="270">
        <f>'Kalkulace a Porovnání'!AH280</f>
        <v>0</v>
      </c>
      <c r="AA100" s="913"/>
      <c r="AB100" s="914"/>
      <c r="AC100" s="915"/>
      <c r="AD100" s="270">
        <f>'Kalkulace a Porovnání'!AG356</f>
        <v>0</v>
      </c>
      <c r="AE100" s="270">
        <f>'Kalkulace a Porovnání'!AH356</f>
        <v>0</v>
      </c>
      <c r="AF100" s="913"/>
      <c r="AG100" s="914"/>
      <c r="AH100" s="915"/>
      <c r="AI100" s="270">
        <f>'Kalkulace a Porovnání'!AG432</f>
        <v>0</v>
      </c>
      <c r="AJ100" s="270">
        <f>'Kalkulace a Porovnání'!AH432</f>
        <v>0</v>
      </c>
      <c r="AK100" s="913"/>
      <c r="AL100" s="914"/>
      <c r="AM100" s="915"/>
      <c r="AN100" s="270">
        <f>'Kalkulace a Porovnání'!AG508</f>
        <v>0</v>
      </c>
      <c r="AO100" s="270">
        <f>'Kalkulace a Porovnání'!AH508</f>
        <v>0</v>
      </c>
      <c r="AP100" s="913"/>
      <c r="AQ100" s="914"/>
      <c r="AR100" s="915"/>
      <c r="AS100" s="270">
        <f>'Kalkulace a Porovnání'!AG584</f>
        <v>0</v>
      </c>
      <c r="AT100" s="270">
        <f>'Kalkulace a Porovnání'!AH584</f>
        <v>0</v>
      </c>
      <c r="AU100" s="551"/>
      <c r="AV100" s="552"/>
      <c r="AW100" s="553"/>
      <c r="AX100" s="270">
        <f>'Kalkulace a Porovnání'!AG660</f>
        <v>0</v>
      </c>
      <c r="AY100" s="270">
        <f>'Kalkulace a Porovnání'!AH660</f>
        <v>0</v>
      </c>
      <c r="AZ100" s="913"/>
      <c r="BA100" s="914"/>
      <c r="BB100" s="915"/>
      <c r="BC100" s="270">
        <f>'Kalkulace a Porovnání'!AG736</f>
        <v>0</v>
      </c>
      <c r="BD100" s="270">
        <f>'Kalkulace a Porovnání'!AH736</f>
        <v>0</v>
      </c>
      <c r="BE100" s="913"/>
      <c r="BF100" s="914"/>
      <c r="BG100" s="915"/>
      <c r="BH100" s="270">
        <f>'Kalkulace a Porovnání'!AG812</f>
        <v>0</v>
      </c>
      <c r="BI100" s="270">
        <f>'Kalkulace a Porovnání'!AH812</f>
        <v>0</v>
      </c>
      <c r="BJ100" s="917"/>
      <c r="BK100" s="917"/>
      <c r="BL100" s="277"/>
      <c r="BM100" s="277"/>
      <c r="BN100" s="252"/>
      <c r="BO100" s="252"/>
      <c r="BP100" s="252"/>
    </row>
    <row r="101" spans="1:68" x14ac:dyDescent="0.25">
      <c r="A101" s="195"/>
      <c r="B101" s="1008" t="s">
        <v>281</v>
      </c>
      <c r="C101" s="1009"/>
      <c r="D101" s="1036"/>
      <c r="E101" s="1042">
        <v>1</v>
      </c>
      <c r="F101" s="1043"/>
      <c r="G101" s="1031"/>
      <c r="H101" s="1031"/>
      <c r="I101" s="1031"/>
      <c r="J101" s="1031"/>
      <c r="K101" s="1031"/>
      <c r="L101" s="1031"/>
      <c r="M101" s="1031"/>
      <c r="N101" s="1032"/>
      <c r="O101" s="1042">
        <v>1</v>
      </c>
      <c r="P101" s="1043"/>
      <c r="Q101" s="447"/>
      <c r="R101" s="448"/>
      <c r="S101" s="353">
        <f>1+I10</f>
        <v>1.02</v>
      </c>
      <c r="T101" s="910"/>
      <c r="U101" s="911"/>
      <c r="V101" s="911"/>
      <c r="W101" s="912"/>
      <c r="X101" s="353">
        <f>1+L10-F10</f>
        <v>0.98</v>
      </c>
      <c r="Y101" s="910"/>
      <c r="Z101" s="911"/>
      <c r="AA101" s="911"/>
      <c r="AB101" s="912"/>
      <c r="AC101" s="353">
        <f>1+O10-I10</f>
        <v>1</v>
      </c>
      <c r="AD101" s="913"/>
      <c r="AE101" s="914"/>
      <c r="AF101" s="914"/>
      <c r="AG101" s="915"/>
      <c r="AH101" s="353">
        <f>1+R10-L10</f>
        <v>1</v>
      </c>
      <c r="AI101" s="913"/>
      <c r="AJ101" s="914"/>
      <c r="AK101" s="914"/>
      <c r="AL101" s="915"/>
      <c r="AM101" s="353">
        <f>1+U10-O10</f>
        <v>1</v>
      </c>
      <c r="AN101" s="913"/>
      <c r="AO101" s="914"/>
      <c r="AP101" s="914"/>
      <c r="AQ101" s="915"/>
      <c r="AR101" s="353">
        <f>1+X10-R10</f>
        <v>1</v>
      </c>
      <c r="AS101" s="913"/>
      <c r="AT101" s="914"/>
      <c r="AU101" s="914"/>
      <c r="AV101" s="915"/>
      <c r="AW101" s="353">
        <f>1+AA10-U10</f>
        <v>1</v>
      </c>
      <c r="AX101" s="913"/>
      <c r="AY101" s="914"/>
      <c r="AZ101" s="914"/>
      <c r="BA101" s="915"/>
      <c r="BB101" s="353">
        <f>1+AD10-X10</f>
        <v>1</v>
      </c>
      <c r="BC101" s="913"/>
      <c r="BD101" s="914"/>
      <c r="BE101" s="914"/>
      <c r="BF101" s="915"/>
      <c r="BG101" s="353">
        <f>1+AG10-AA10</f>
        <v>1</v>
      </c>
      <c r="BH101" s="913"/>
      <c r="BI101" s="915"/>
      <c r="BJ101" s="361"/>
      <c r="BK101" s="361"/>
      <c r="BL101" s="277"/>
      <c r="BM101" s="277"/>
      <c r="BN101" s="252"/>
      <c r="BO101" s="252"/>
      <c r="BP101" s="252"/>
    </row>
    <row r="102" spans="1:68" x14ac:dyDescent="0.25">
      <c r="A102" s="195"/>
      <c r="B102" s="1047" t="s">
        <v>282</v>
      </c>
      <c r="C102" s="1047"/>
      <c r="D102" s="1047"/>
      <c r="E102" s="352">
        <f>E103*E101</f>
        <v>0</v>
      </c>
      <c r="F102" s="352">
        <f>F103*E101</f>
        <v>0</v>
      </c>
      <c r="G102" s="1030"/>
      <c r="H102" s="1031"/>
      <c r="I102" s="1031"/>
      <c r="J102" s="1031"/>
      <c r="K102" s="1031"/>
      <c r="L102" s="1031"/>
      <c r="M102" s="1031"/>
      <c r="N102" s="1032"/>
      <c r="O102" s="352">
        <f>O103*O101</f>
        <v>0</v>
      </c>
      <c r="P102" s="352">
        <f>P103*O101</f>
        <v>0</v>
      </c>
      <c r="Q102" s="554"/>
      <c r="R102" s="549"/>
      <c r="S102" s="550"/>
      <c r="T102" s="270">
        <f>E100*S101</f>
        <v>0</v>
      </c>
      <c r="U102" s="270">
        <f>F100*S101</f>
        <v>0</v>
      </c>
      <c r="V102" s="551"/>
      <c r="W102" s="552"/>
      <c r="X102" s="553"/>
      <c r="Y102" s="270">
        <f>O100*X101</f>
        <v>0</v>
      </c>
      <c r="Z102" s="270">
        <f>P100*X101</f>
        <v>0</v>
      </c>
      <c r="AA102" s="916"/>
      <c r="AB102" s="916"/>
      <c r="AC102" s="916"/>
      <c r="AD102" s="270">
        <f>T100*AC101</f>
        <v>0</v>
      </c>
      <c r="AE102" s="270">
        <f>U100*AC101</f>
        <v>0</v>
      </c>
      <c r="AF102" s="916"/>
      <c r="AG102" s="916"/>
      <c r="AH102" s="916"/>
      <c r="AI102" s="270">
        <f>Y100*AH101</f>
        <v>0</v>
      </c>
      <c r="AJ102" s="270">
        <f>Z100*AH101</f>
        <v>0</v>
      </c>
      <c r="AK102" s="913"/>
      <c r="AL102" s="914"/>
      <c r="AM102" s="915"/>
      <c r="AN102" s="270">
        <f>AD100*AM101</f>
        <v>0</v>
      </c>
      <c r="AO102" s="270">
        <f>AE100*AM101</f>
        <v>0</v>
      </c>
      <c r="AP102" s="913"/>
      <c r="AQ102" s="914"/>
      <c r="AR102" s="915"/>
      <c r="AS102" s="270">
        <f>AI100*AR101</f>
        <v>0</v>
      </c>
      <c r="AT102" s="270">
        <f>AJ100*AR101</f>
        <v>0</v>
      </c>
      <c r="AU102" s="551"/>
      <c r="AV102" s="552"/>
      <c r="AW102" s="553"/>
      <c r="AX102" s="270">
        <f>AN100*AW101</f>
        <v>0</v>
      </c>
      <c r="AY102" s="270">
        <f>AO100*AW101</f>
        <v>0</v>
      </c>
      <c r="AZ102" s="913"/>
      <c r="BA102" s="914"/>
      <c r="BB102" s="915"/>
      <c r="BC102" s="270">
        <f>AS100*BB101</f>
        <v>0</v>
      </c>
      <c r="BD102" s="270">
        <f>AT100*BB101</f>
        <v>0</v>
      </c>
      <c r="BE102" s="913"/>
      <c r="BF102" s="914"/>
      <c r="BG102" s="915"/>
      <c r="BH102" s="270">
        <f>AX100*BG101</f>
        <v>0</v>
      </c>
      <c r="BI102" s="270">
        <f>AY100*BG101</f>
        <v>0</v>
      </c>
      <c r="BL102" s="252"/>
      <c r="BM102" s="252"/>
      <c r="BN102" s="252"/>
      <c r="BO102" s="252"/>
      <c r="BP102" s="252"/>
    </row>
    <row r="103" spans="1:68" x14ac:dyDescent="0.25">
      <c r="A103" s="195"/>
      <c r="B103" s="1039" t="s">
        <v>341</v>
      </c>
      <c r="C103" s="1040"/>
      <c r="D103" s="1040"/>
      <c r="E103" s="710">
        <v>0</v>
      </c>
      <c r="F103" s="710">
        <v>0</v>
      </c>
      <c r="G103" s="1041"/>
      <c r="H103" s="1041"/>
      <c r="I103" s="445" t="s">
        <v>342</v>
      </c>
      <c r="J103" s="445"/>
      <c r="K103" s="445"/>
      <c r="L103" s="432"/>
      <c r="M103" s="432"/>
      <c r="N103" s="446"/>
      <c r="O103" s="710">
        <v>0</v>
      </c>
      <c r="P103" s="710">
        <v>0</v>
      </c>
      <c r="Q103" s="443"/>
      <c r="R103" s="443"/>
      <c r="S103" s="443"/>
      <c r="T103" s="147"/>
      <c r="U103" s="147"/>
      <c r="V103" s="444"/>
      <c r="W103" s="444"/>
      <c r="X103" s="444"/>
      <c r="Y103" s="147"/>
      <c r="Z103" s="147"/>
      <c r="AA103" s="444"/>
      <c r="AB103" s="444"/>
      <c r="AC103" s="444"/>
      <c r="AD103" s="147"/>
      <c r="AE103" s="147"/>
      <c r="AF103" s="444"/>
      <c r="AG103" s="444"/>
      <c r="AH103" s="444"/>
      <c r="AI103" s="147"/>
      <c r="AJ103" s="147"/>
      <c r="AK103" s="444"/>
      <c r="AL103" s="444"/>
      <c r="AM103" s="444"/>
      <c r="AN103" s="147"/>
      <c r="AO103" s="147"/>
      <c r="AP103" s="444"/>
      <c r="AQ103" s="444"/>
      <c r="AR103" s="444"/>
      <c r="AS103" s="147"/>
      <c r="AT103" s="147"/>
      <c r="AU103" s="444"/>
      <c r="AV103" s="444"/>
      <c r="AW103" s="444"/>
      <c r="AX103" s="147"/>
      <c r="AY103" s="147"/>
      <c r="AZ103" s="444"/>
      <c r="BA103" s="444"/>
      <c r="BB103" s="444"/>
      <c r="BC103" s="147"/>
      <c r="BD103" s="147"/>
      <c r="BE103" s="444"/>
      <c r="BF103" s="444"/>
      <c r="BG103" s="444"/>
      <c r="BH103" s="147"/>
      <c r="BI103" s="147"/>
      <c r="BL103" s="252"/>
      <c r="BM103" s="252"/>
      <c r="BN103" s="252"/>
      <c r="BO103" s="252"/>
      <c r="BP103" s="252"/>
    </row>
    <row r="104" spans="1:68" x14ac:dyDescent="0.25">
      <c r="A104" s="195"/>
      <c r="B104" s="422" t="s">
        <v>436</v>
      </c>
      <c r="C104" s="186"/>
      <c r="D104" s="186"/>
      <c r="E104" s="114"/>
      <c r="F104" s="197"/>
      <c r="G104" s="197"/>
      <c r="H104" s="197"/>
      <c r="I104" s="197"/>
      <c r="J104" s="145"/>
      <c r="K104" s="145"/>
      <c r="L104" s="145"/>
      <c r="M104" s="48"/>
      <c r="N104" s="48"/>
      <c r="O104" s="145"/>
      <c r="P104" s="145"/>
      <c r="Q104" s="145"/>
      <c r="R104" s="145"/>
      <c r="S104" s="145"/>
      <c r="T104" s="145"/>
      <c r="U104" s="145"/>
      <c r="V104" s="145"/>
      <c r="W104" s="145"/>
      <c r="X104" s="145"/>
      <c r="Y104" s="145"/>
      <c r="Z104" s="145"/>
      <c r="AA104" s="145"/>
      <c r="AB104" s="145"/>
      <c r="AC104" s="145"/>
      <c r="AD104" s="145"/>
      <c r="AE104" s="145"/>
      <c r="AF104" s="145"/>
      <c r="AG104" s="145"/>
    </row>
    <row r="105" spans="1:68" x14ac:dyDescent="0.25">
      <c r="A105" s="195"/>
      <c r="B105" s="853" t="s">
        <v>322</v>
      </c>
      <c r="C105" s="853"/>
      <c r="D105" s="853"/>
      <c r="E105" s="710">
        <v>0</v>
      </c>
      <c r="F105" s="710">
        <v>0</v>
      </c>
      <c r="G105" s="195"/>
      <c r="H105" s="195"/>
      <c r="I105" s="195"/>
      <c r="J105" s="195"/>
      <c r="K105" s="195"/>
      <c r="L105" s="195"/>
      <c r="M105" s="48"/>
      <c r="N105" s="48"/>
      <c r="O105" s="145"/>
      <c r="P105" s="145"/>
      <c r="Q105" s="145"/>
      <c r="R105" s="145"/>
      <c r="S105" s="145"/>
      <c r="T105" s="145"/>
      <c r="U105" s="145"/>
      <c r="V105" s="145"/>
      <c r="W105" s="145"/>
      <c r="X105" s="145"/>
      <c r="Y105" s="145"/>
      <c r="Z105" s="145"/>
      <c r="AA105" s="145"/>
      <c r="AB105" s="145"/>
      <c r="AC105" s="145"/>
      <c r="AD105" s="145"/>
      <c r="AE105" s="145"/>
      <c r="AF105" s="145"/>
      <c r="AG105" s="145"/>
    </row>
    <row r="106" spans="1:68" x14ac:dyDescent="0.25">
      <c r="A106" s="195"/>
      <c r="B106" s="48"/>
      <c r="C106" s="48"/>
      <c r="D106" s="48"/>
      <c r="E106" s="48"/>
      <c r="F106" s="195"/>
      <c r="G106" s="195"/>
      <c r="H106" s="195"/>
      <c r="I106" s="195"/>
      <c r="J106" s="195"/>
      <c r="K106" s="195"/>
      <c r="L106" s="195"/>
      <c r="M106" s="48"/>
      <c r="N106" s="48"/>
      <c r="O106" s="145"/>
      <c r="P106" s="145"/>
      <c r="Q106" s="145"/>
      <c r="R106" s="145"/>
      <c r="S106" s="145"/>
      <c r="T106" s="145"/>
      <c r="U106" s="145"/>
      <c r="V106" s="145"/>
      <c r="W106" s="145"/>
      <c r="X106" s="145"/>
      <c r="Y106" s="145"/>
      <c r="Z106" s="145"/>
      <c r="AA106" s="145"/>
      <c r="AB106" s="145"/>
      <c r="AC106" s="145"/>
      <c r="AD106" s="145"/>
      <c r="AE106" s="145"/>
      <c r="AF106" s="145"/>
      <c r="AG106" s="145"/>
    </row>
    <row r="107" spans="1:68" x14ac:dyDescent="0.25">
      <c r="A107" s="195"/>
      <c r="B107" s="48"/>
      <c r="C107" s="259"/>
      <c r="D107" s="198"/>
      <c r="E107" s="198"/>
      <c r="F107" s="195"/>
      <c r="G107" s="195"/>
      <c r="H107" s="195"/>
      <c r="I107" s="195"/>
      <c r="J107" s="195"/>
      <c r="K107" s="195"/>
      <c r="L107" s="195"/>
      <c r="M107" s="198"/>
      <c r="N107" s="198"/>
      <c r="O107" s="145"/>
      <c r="P107" s="145"/>
      <c r="Q107" s="145"/>
      <c r="R107" s="145"/>
      <c r="S107" s="145"/>
      <c r="T107" s="145"/>
      <c r="U107" s="145"/>
      <c r="V107" s="145"/>
      <c r="W107" s="145"/>
      <c r="X107" s="145"/>
      <c r="Y107" s="145"/>
      <c r="Z107" s="145"/>
      <c r="AA107" s="145"/>
      <c r="AB107" s="145"/>
      <c r="AC107" s="145"/>
      <c r="AD107" s="145"/>
      <c r="AE107" s="145"/>
      <c r="AF107" s="145"/>
      <c r="AG107" s="145"/>
    </row>
    <row r="108" spans="1:68" x14ac:dyDescent="0.25">
      <c r="A108" s="195"/>
      <c r="B108" s="48"/>
      <c r="C108" s="260"/>
      <c r="D108" s="198"/>
      <c r="E108" s="198"/>
      <c r="F108" s="195"/>
      <c r="G108" s="195"/>
      <c r="H108" s="195"/>
      <c r="I108" s="195"/>
      <c r="J108" s="195"/>
      <c r="K108" s="195"/>
      <c r="L108" s="195"/>
      <c r="M108" s="198"/>
      <c r="N108" s="198"/>
      <c r="O108" s="145"/>
      <c r="P108" s="145"/>
      <c r="Q108" s="145"/>
      <c r="R108" s="145"/>
      <c r="S108" s="145"/>
      <c r="T108" s="145"/>
      <c r="U108" s="145"/>
      <c r="V108" s="145"/>
      <c r="W108" s="145"/>
      <c r="X108" s="145"/>
      <c r="Y108" s="145"/>
      <c r="Z108" s="145"/>
      <c r="AA108" s="145"/>
      <c r="AB108" s="145"/>
      <c r="AC108" s="145"/>
      <c r="AD108" s="145"/>
      <c r="AE108" s="145"/>
      <c r="AF108" s="145"/>
      <c r="AG108" s="145"/>
    </row>
    <row r="109" spans="1:68" x14ac:dyDescent="0.25">
      <c r="A109" s="145"/>
      <c r="B109" s="195"/>
      <c r="C109" s="261"/>
      <c r="D109" s="195"/>
      <c r="E109" s="195"/>
      <c r="F109" s="195"/>
      <c r="G109" s="195"/>
      <c r="H109" s="195"/>
      <c r="I109" s="195"/>
      <c r="J109" s="195"/>
      <c r="K109" s="195"/>
      <c r="L109" s="195"/>
      <c r="M109" s="195"/>
      <c r="N109" s="195"/>
      <c r="O109" s="145"/>
      <c r="P109" s="145"/>
      <c r="Q109" s="145"/>
      <c r="R109" s="145"/>
      <c r="S109" s="145"/>
      <c r="T109" s="145"/>
      <c r="U109" s="145"/>
      <c r="V109" s="145"/>
      <c r="W109" s="145"/>
      <c r="X109" s="145"/>
      <c r="Y109" s="145"/>
      <c r="Z109" s="145"/>
      <c r="AA109" s="145"/>
      <c r="AB109" s="145"/>
      <c r="AC109" s="145"/>
      <c r="AD109" s="145"/>
      <c r="AE109" s="145"/>
      <c r="AF109" s="145"/>
      <c r="AG109" s="145"/>
    </row>
    <row r="110" spans="1:68" x14ac:dyDescent="0.25">
      <c r="A110" s="145"/>
      <c r="B110" s="241" t="s">
        <v>249</v>
      </c>
      <c r="C110" s="62"/>
      <c r="D110" s="62"/>
      <c r="E110" s="62"/>
      <c r="F110" s="62"/>
      <c r="G110" s="62"/>
      <c r="H110" s="62"/>
      <c r="I110" s="62"/>
      <c r="J110" s="195"/>
      <c r="K110" s="195"/>
      <c r="L110" s="195"/>
      <c r="M110" s="46"/>
      <c r="N110" s="46"/>
      <c r="O110" s="145"/>
      <c r="P110" s="145"/>
      <c r="Q110" s="145"/>
      <c r="R110" s="145"/>
      <c r="S110" s="145"/>
      <c r="T110" s="145"/>
      <c r="U110" s="145"/>
      <c r="V110" s="145"/>
      <c r="W110" s="145"/>
      <c r="X110" s="145"/>
      <c r="Y110" s="145"/>
      <c r="Z110" s="145"/>
      <c r="AA110" s="145"/>
      <c r="AB110" s="145"/>
      <c r="AC110" s="145"/>
      <c r="AD110" s="145"/>
      <c r="AE110" s="145"/>
      <c r="AF110" s="145"/>
      <c r="AG110" s="145"/>
    </row>
    <row r="111" spans="1:68" x14ac:dyDescent="0.25">
      <c r="A111" s="145"/>
      <c r="B111" s="398" t="s">
        <v>117</v>
      </c>
      <c r="C111" s="399"/>
      <c r="D111" s="399"/>
      <c r="E111" s="399"/>
      <c r="F111" s="399"/>
      <c r="G111" s="399"/>
      <c r="H111" s="399"/>
      <c r="I111" s="400"/>
      <c r="J111" s="195"/>
      <c r="K111" s="195"/>
      <c r="L111" s="195"/>
      <c r="M111" s="46"/>
      <c r="N111" s="46"/>
      <c r="O111" s="145"/>
      <c r="P111" s="145"/>
      <c r="Q111" s="145"/>
      <c r="R111" s="145"/>
      <c r="S111" s="145"/>
      <c r="T111" s="145"/>
      <c r="U111" s="145"/>
      <c r="V111" s="145"/>
      <c r="W111" s="145"/>
      <c r="X111" s="145"/>
      <c r="Y111" s="145"/>
      <c r="Z111" s="145"/>
      <c r="AA111" s="145"/>
      <c r="AB111" s="145"/>
      <c r="AC111" s="145"/>
      <c r="AD111" s="145"/>
      <c r="AE111" s="145"/>
      <c r="AF111" s="145"/>
      <c r="AG111" s="145"/>
    </row>
    <row r="112" spans="1:68" x14ac:dyDescent="0.25">
      <c r="A112" s="145"/>
      <c r="B112" s="401" t="s">
        <v>208</v>
      </c>
      <c r="C112" s="402"/>
      <c r="D112" s="402"/>
      <c r="E112" s="402"/>
      <c r="F112" s="402"/>
      <c r="G112" s="402"/>
      <c r="H112" s="402"/>
      <c r="I112" s="403"/>
      <c r="J112" s="48"/>
      <c r="K112" s="48"/>
      <c r="L112" s="46"/>
      <c r="M112" s="46"/>
      <c r="N112" s="46"/>
      <c r="O112" s="145"/>
      <c r="P112" s="145"/>
      <c r="Q112" s="145"/>
      <c r="R112" s="145"/>
      <c r="S112" s="145"/>
      <c r="T112" s="145"/>
      <c r="U112" s="145"/>
      <c r="V112" s="145"/>
      <c r="W112" s="145"/>
      <c r="X112" s="145"/>
      <c r="Y112" s="145"/>
      <c r="Z112" s="145"/>
      <c r="AA112" s="145"/>
      <c r="AB112" s="145"/>
      <c r="AC112" s="145"/>
      <c r="AD112" s="145"/>
      <c r="AE112" s="145"/>
      <c r="AF112" s="145"/>
      <c r="AG112" s="145"/>
    </row>
    <row r="113" spans="1:33" x14ac:dyDescent="0.25">
      <c r="A113" s="145"/>
      <c r="B113" s="220" t="s">
        <v>176</v>
      </c>
      <c r="C113" s="221"/>
      <c r="D113" s="221"/>
      <c r="E113" s="221"/>
      <c r="F113" s="221"/>
      <c r="G113" s="221"/>
      <c r="H113" s="221"/>
      <c r="I113" s="222"/>
      <c r="J113" s="48"/>
      <c r="K113" s="48"/>
      <c r="L113" s="46"/>
      <c r="M113" s="46"/>
      <c r="N113" s="46"/>
      <c r="O113" s="145"/>
      <c r="P113" s="145"/>
      <c r="Q113" s="145"/>
      <c r="R113" s="145"/>
      <c r="S113" s="145"/>
      <c r="T113" s="145"/>
      <c r="U113" s="145"/>
      <c r="V113" s="145"/>
      <c r="W113" s="145"/>
      <c r="X113" s="145"/>
      <c r="Y113" s="145"/>
      <c r="Z113" s="145"/>
      <c r="AA113" s="145"/>
      <c r="AB113" s="145"/>
      <c r="AC113" s="145"/>
      <c r="AD113" s="145"/>
      <c r="AE113" s="145"/>
      <c r="AF113" s="145"/>
      <c r="AG113" s="145"/>
    </row>
    <row r="114" spans="1:33" x14ac:dyDescent="0.25">
      <c r="A114" s="145"/>
      <c r="B114" s="404" t="s">
        <v>140</v>
      </c>
      <c r="C114" s="405"/>
      <c r="D114" s="405"/>
      <c r="E114" s="405"/>
      <c r="F114" s="405"/>
      <c r="G114" s="405"/>
      <c r="H114" s="405"/>
      <c r="I114" s="406"/>
      <c r="J114" s="46"/>
      <c r="K114" s="46"/>
      <c r="L114" s="46"/>
      <c r="M114" s="46"/>
      <c r="N114" s="46"/>
      <c r="O114" s="145"/>
      <c r="P114" s="145"/>
      <c r="Q114" s="145"/>
      <c r="R114" s="145"/>
      <c r="S114" s="145"/>
      <c r="T114" s="145"/>
      <c r="U114" s="145"/>
      <c r="V114" s="145"/>
      <c r="W114" s="145"/>
      <c r="X114" s="145"/>
      <c r="Y114" s="145"/>
      <c r="Z114" s="145"/>
      <c r="AA114" s="145"/>
      <c r="AB114" s="145"/>
      <c r="AC114" s="145"/>
      <c r="AD114" s="145"/>
      <c r="AE114" s="145"/>
      <c r="AF114" s="145"/>
      <c r="AG114" s="145"/>
    </row>
    <row r="115" spans="1:33" x14ac:dyDescent="0.25">
      <c r="A115" s="145"/>
      <c r="B115" s="223" t="s">
        <v>135</v>
      </c>
      <c r="C115" s="224"/>
      <c r="D115" s="224"/>
      <c r="E115" s="224"/>
      <c r="F115" s="224"/>
      <c r="G115" s="224"/>
      <c r="H115" s="224"/>
      <c r="I115" s="225"/>
      <c r="J115" s="46"/>
      <c r="K115" s="46"/>
      <c r="L115" s="46"/>
      <c r="M115" s="46"/>
      <c r="N115" s="46"/>
      <c r="O115" s="145"/>
      <c r="P115" s="145"/>
      <c r="Q115" s="145"/>
      <c r="R115" s="145"/>
      <c r="S115" s="145"/>
      <c r="T115" s="145"/>
      <c r="U115" s="145"/>
      <c r="V115" s="145"/>
      <c r="W115" s="145"/>
      <c r="X115" s="145"/>
      <c r="Y115" s="145"/>
      <c r="Z115" s="145"/>
      <c r="AA115" s="145"/>
      <c r="AB115" s="145"/>
      <c r="AC115" s="145"/>
      <c r="AD115" s="145"/>
      <c r="AE115" s="145"/>
      <c r="AF115" s="145"/>
      <c r="AG115" s="145"/>
    </row>
    <row r="116" spans="1:33" x14ac:dyDescent="0.25">
      <c r="B116" s="226" t="s">
        <v>163</v>
      </c>
      <c r="C116" s="227"/>
      <c r="D116" s="227"/>
      <c r="E116" s="227"/>
      <c r="F116" s="227"/>
      <c r="G116" s="227"/>
      <c r="H116" s="227"/>
      <c r="I116" s="228"/>
      <c r="J116" s="46"/>
      <c r="K116" s="46"/>
      <c r="L116" s="46"/>
      <c r="M116" s="46"/>
      <c r="N116" s="46"/>
    </row>
    <row r="117" spans="1:33" x14ac:dyDescent="0.25">
      <c r="B117" s="46"/>
      <c r="C117" s="46"/>
      <c r="D117" s="46"/>
      <c r="E117" s="46"/>
      <c r="F117" s="46"/>
      <c r="G117" s="46"/>
      <c r="H117" s="46"/>
      <c r="I117" s="46"/>
      <c r="J117" s="46"/>
      <c r="K117" s="46"/>
      <c r="L117" s="46"/>
      <c r="M117" s="46"/>
      <c r="N117" s="46"/>
    </row>
    <row r="118" spans="1:33" hidden="1" x14ac:dyDescent="0.25">
      <c r="B118" s="46"/>
      <c r="C118" s="46"/>
      <c r="D118" s="46"/>
      <c r="E118" s="46"/>
      <c r="F118" s="46"/>
      <c r="G118" s="46"/>
      <c r="H118" s="46"/>
      <c r="I118" s="46"/>
      <c r="J118" s="46"/>
      <c r="K118" s="46"/>
      <c r="L118" s="46"/>
      <c r="M118" s="46"/>
      <c r="N118" s="46"/>
    </row>
    <row r="119" spans="1:33" hidden="1" x14ac:dyDescent="0.25">
      <c r="B119" s="46"/>
      <c r="C119" s="46"/>
      <c r="D119" s="46"/>
      <c r="E119" s="46"/>
      <c r="F119" s="46"/>
      <c r="G119" s="46"/>
      <c r="H119" s="46"/>
      <c r="I119" s="46"/>
      <c r="J119" s="46"/>
      <c r="K119" s="46"/>
      <c r="L119" s="46"/>
      <c r="M119" s="46"/>
      <c r="N119" s="46"/>
    </row>
  </sheetData>
  <sheetProtection password="B65E" sheet="1" objects="1" scenarios="1"/>
  <sortState xmlns:xlrd2="http://schemas.microsoft.com/office/spreadsheetml/2017/richdata2" ref="B5:C13">
    <sortCondition ref="B5"/>
  </sortState>
  <dataConsolidate/>
  <mergeCells count="277">
    <mergeCell ref="Q63:R63"/>
    <mergeCell ref="O63:P63"/>
    <mergeCell ref="T63:U63"/>
    <mergeCell ref="V63:W63"/>
    <mergeCell ref="AA63:AB63"/>
    <mergeCell ref="Y63:Z63"/>
    <mergeCell ref="AF63:AG63"/>
    <mergeCell ref="AD63:AE63"/>
    <mergeCell ref="BH63:BI63"/>
    <mergeCell ref="AK63:AL63"/>
    <mergeCell ref="AN63:AO63"/>
    <mergeCell ref="AP63:AQ63"/>
    <mergeCell ref="AS63:AT63"/>
    <mergeCell ref="AU63:AV63"/>
    <mergeCell ref="AX63:AY63"/>
    <mergeCell ref="AZ63:BA63"/>
    <mergeCell ref="BC63:BD63"/>
    <mergeCell ref="BE63:BF63"/>
    <mergeCell ref="B102:D102"/>
    <mergeCell ref="V79:W79"/>
    <mergeCell ref="T79:U79"/>
    <mergeCell ref="K82:L82"/>
    <mergeCell ref="K83:L83"/>
    <mergeCell ref="K84:L84"/>
    <mergeCell ref="K85:L85"/>
    <mergeCell ref="K86:L86"/>
    <mergeCell ref="K87:L87"/>
    <mergeCell ref="K88:L88"/>
    <mergeCell ref="K89:L89"/>
    <mergeCell ref="K90:L90"/>
    <mergeCell ref="K91:L91"/>
    <mergeCell ref="K92:L92"/>
    <mergeCell ref="K93:L93"/>
    <mergeCell ref="K94:L94"/>
    <mergeCell ref="Q79:R79"/>
    <mergeCell ref="O79:P79"/>
    <mergeCell ref="K81:L81"/>
    <mergeCell ref="K80:L80"/>
    <mergeCell ref="E81:F81"/>
    <mergeCell ref="G81:H81"/>
    <mergeCell ref="I81:J81"/>
    <mergeCell ref="O81:P81"/>
    <mergeCell ref="K59:P59"/>
    <mergeCell ref="Q16:R16"/>
    <mergeCell ref="K36:M36"/>
    <mergeCell ref="K47:M47"/>
    <mergeCell ref="K49:M49"/>
    <mergeCell ref="K37:M37"/>
    <mergeCell ref="B105:D105"/>
    <mergeCell ref="G102:N102"/>
    <mergeCell ref="B97:D97"/>
    <mergeCell ref="G97:H97"/>
    <mergeCell ref="K97:N97"/>
    <mergeCell ref="B101:D101"/>
    <mergeCell ref="G79:H79"/>
    <mergeCell ref="B80:B81"/>
    <mergeCell ref="C80:C81"/>
    <mergeCell ref="D80:D81"/>
    <mergeCell ref="E79:F79"/>
    <mergeCell ref="B103:D103"/>
    <mergeCell ref="G103:H103"/>
    <mergeCell ref="O101:P101"/>
    <mergeCell ref="E101:F101"/>
    <mergeCell ref="G101:N101"/>
    <mergeCell ref="B100:D100"/>
    <mergeCell ref="G100:N100"/>
    <mergeCell ref="BO16:BP16"/>
    <mergeCell ref="AN18:AO19"/>
    <mergeCell ref="BE18:BF18"/>
    <mergeCell ref="BG18:BG20"/>
    <mergeCell ref="BH18:BI19"/>
    <mergeCell ref="BE19:BF19"/>
    <mergeCell ref="BJ18:BK18"/>
    <mergeCell ref="BJ19:BK19"/>
    <mergeCell ref="AR18:AR20"/>
    <mergeCell ref="AU18:AV18"/>
    <mergeCell ref="AW18:AW20"/>
    <mergeCell ref="AX18:AY19"/>
    <mergeCell ref="AU19:AV19"/>
    <mergeCell ref="AZ18:BA18"/>
    <mergeCell ref="BL18:BM18"/>
    <mergeCell ref="BL19:BM19"/>
    <mergeCell ref="AZ19:BA19"/>
    <mergeCell ref="AS18:AT19"/>
    <mergeCell ref="AP18:AQ18"/>
    <mergeCell ref="AP19:AQ19"/>
    <mergeCell ref="BB18:BB20"/>
    <mergeCell ref="BC18:BD19"/>
    <mergeCell ref="AP16:AQ16"/>
    <mergeCell ref="AU16:AV16"/>
    <mergeCell ref="BC79:BD79"/>
    <mergeCell ref="BH79:BI79"/>
    <mergeCell ref="AX79:AY79"/>
    <mergeCell ref="BE79:BF79"/>
    <mergeCell ref="AU79:AV79"/>
    <mergeCell ref="AZ16:BA16"/>
    <mergeCell ref="BE16:BF16"/>
    <mergeCell ref="BL79:BM79"/>
    <mergeCell ref="Y79:Z79"/>
    <mergeCell ref="AD79:AE79"/>
    <mergeCell ref="AI79:AJ79"/>
    <mergeCell ref="AN79:AO79"/>
    <mergeCell ref="AZ79:BA79"/>
    <mergeCell ref="BJ79:BK79"/>
    <mergeCell ref="AS79:AT79"/>
    <mergeCell ref="BJ16:BK16"/>
    <mergeCell ref="BJ63:BK63"/>
    <mergeCell ref="BL63:BM63"/>
    <mergeCell ref="AM18:AM20"/>
    <mergeCell ref="AF18:AG18"/>
    <mergeCell ref="AK18:AL18"/>
    <mergeCell ref="AK19:AL19"/>
    <mergeCell ref="AK16:AL16"/>
    <mergeCell ref="AW59:AY59"/>
    <mergeCell ref="B6:C6"/>
    <mergeCell ref="F3:F4"/>
    <mergeCell ref="I3:I4"/>
    <mergeCell ref="L3:L4"/>
    <mergeCell ref="O3:O4"/>
    <mergeCell ref="R3:R4"/>
    <mergeCell ref="U3:U4"/>
    <mergeCell ref="M4:M5"/>
    <mergeCell ref="S4:S5"/>
    <mergeCell ref="P4:P5"/>
    <mergeCell ref="J4:J5"/>
    <mergeCell ref="E4:E5"/>
    <mergeCell ref="H4:H5"/>
    <mergeCell ref="G4:G5"/>
    <mergeCell ref="T4:T5"/>
    <mergeCell ref="Q4:Q5"/>
    <mergeCell ref="N4:N5"/>
    <mergeCell ref="K4:K5"/>
    <mergeCell ref="AH18:AH20"/>
    <mergeCell ref="AI18:AJ19"/>
    <mergeCell ref="Y18:Z19"/>
    <mergeCell ref="AC18:AC20"/>
    <mergeCell ref="AD18:AE19"/>
    <mergeCell ref="V16:W16"/>
    <mergeCell ref="AA16:AB16"/>
    <mergeCell ref="B7:C7"/>
    <mergeCell ref="B8:C8"/>
    <mergeCell ref="B14:C14"/>
    <mergeCell ref="B18:B21"/>
    <mergeCell ref="D59:H59"/>
    <mergeCell ref="B73:C73"/>
    <mergeCell ref="E63:F63"/>
    <mergeCell ref="B62:J62"/>
    <mergeCell ref="B69:C69"/>
    <mergeCell ref="B65:C65"/>
    <mergeCell ref="G63:H63"/>
    <mergeCell ref="I63:J63"/>
    <mergeCell ref="D63:D64"/>
    <mergeCell ref="C63:C64"/>
    <mergeCell ref="B63:B64"/>
    <mergeCell ref="B58:C58"/>
    <mergeCell ref="C18:C21"/>
    <mergeCell ref="D18:D21"/>
    <mergeCell ref="E18:F19"/>
    <mergeCell ref="G18:H19"/>
    <mergeCell ref="B16:H17"/>
    <mergeCell ref="D58:H58"/>
    <mergeCell ref="K30:M30"/>
    <mergeCell ref="K31:M31"/>
    <mergeCell ref="K28:M28"/>
    <mergeCell ref="K46:M46"/>
    <mergeCell ref="K48:M48"/>
    <mergeCell ref="K38:M38"/>
    <mergeCell ref="K18:M21"/>
    <mergeCell ref="K22:M22"/>
    <mergeCell ref="K23:M23"/>
    <mergeCell ref="K25:M25"/>
    <mergeCell ref="K26:M26"/>
    <mergeCell ref="K27:M27"/>
    <mergeCell ref="K32:M32"/>
    <mergeCell ref="K33:M33"/>
    <mergeCell ref="K34:M34"/>
    <mergeCell ref="K35:M35"/>
    <mergeCell ref="K24:M24"/>
    <mergeCell ref="AG3:AG4"/>
    <mergeCell ref="AE4:AE5"/>
    <mergeCell ref="AF4:AF5"/>
    <mergeCell ref="O18:P19"/>
    <mergeCell ref="AF16:AG16"/>
    <mergeCell ref="AD3:AD4"/>
    <mergeCell ref="AB4:AB5"/>
    <mergeCell ref="AC4:AC5"/>
    <mergeCell ref="Q18:R18"/>
    <mergeCell ref="Q19:R19"/>
    <mergeCell ref="V18:W18"/>
    <mergeCell ref="V19:W19"/>
    <mergeCell ref="AA18:AB18"/>
    <mergeCell ref="X18:X20"/>
    <mergeCell ref="AA19:AB19"/>
    <mergeCell ref="V4:V5"/>
    <mergeCell ref="Z4:Z5"/>
    <mergeCell ref="AF19:AG19"/>
    <mergeCell ref="W4:W5"/>
    <mergeCell ref="AA3:AA4"/>
    <mergeCell ref="Y4:Y5"/>
    <mergeCell ref="X3:X4"/>
    <mergeCell ref="S18:S20"/>
    <mergeCell ref="T18:U19"/>
    <mergeCell ref="BB59:BD59"/>
    <mergeCell ref="BG59:BI59"/>
    <mergeCell ref="S59:U59"/>
    <mergeCell ref="I16:J16"/>
    <mergeCell ref="I79:J79"/>
    <mergeCell ref="K50:M50"/>
    <mergeCell ref="K51:M51"/>
    <mergeCell ref="K52:M52"/>
    <mergeCell ref="K53:M53"/>
    <mergeCell ref="K54:M54"/>
    <mergeCell ref="K55:M55"/>
    <mergeCell ref="K56:M56"/>
    <mergeCell ref="I18:J18"/>
    <mergeCell ref="I19:J19"/>
    <mergeCell ref="K39:M39"/>
    <mergeCell ref="K40:M40"/>
    <mergeCell ref="K41:M41"/>
    <mergeCell ref="K42:M42"/>
    <mergeCell ref="K43:M43"/>
    <mergeCell ref="K44:M44"/>
    <mergeCell ref="K45:M45"/>
    <mergeCell ref="K29:M29"/>
    <mergeCell ref="K58:N58"/>
    <mergeCell ref="N18:N20"/>
    <mergeCell ref="AR59:AT59"/>
    <mergeCell ref="X59:Z59"/>
    <mergeCell ref="AC59:AE59"/>
    <mergeCell ref="AH59:AJ59"/>
    <mergeCell ref="AM59:AO59"/>
    <mergeCell ref="AP79:AQ79"/>
    <mergeCell ref="AA79:AB79"/>
    <mergeCell ref="AF79:AG79"/>
    <mergeCell ref="AK79:AL79"/>
    <mergeCell ref="AI63:AJ63"/>
    <mergeCell ref="AA102:AC102"/>
    <mergeCell ref="AF102:AH102"/>
    <mergeCell ref="T101:W101"/>
    <mergeCell ref="BE100:BG100"/>
    <mergeCell ref="BE102:BG102"/>
    <mergeCell ref="BC101:BF101"/>
    <mergeCell ref="BJ100:BK100"/>
    <mergeCell ref="BH101:BI101"/>
    <mergeCell ref="AP100:AR100"/>
    <mergeCell ref="AN101:AQ101"/>
    <mergeCell ref="AK102:AM102"/>
    <mergeCell ref="AP102:AR102"/>
    <mergeCell ref="AS101:AV101"/>
    <mergeCell ref="AX101:BA101"/>
    <mergeCell ref="AZ100:BB100"/>
    <mergeCell ref="AZ102:BB102"/>
    <mergeCell ref="Q81:R81"/>
    <mergeCell ref="T81:U81"/>
    <mergeCell ref="V81:W81"/>
    <mergeCell ref="Y81:Z81"/>
    <mergeCell ref="Y101:AB101"/>
    <mergeCell ref="AA100:AC100"/>
    <mergeCell ref="BC81:BD81"/>
    <mergeCell ref="AZ81:BA81"/>
    <mergeCell ref="BE81:BF81"/>
    <mergeCell ref="AD101:AG101"/>
    <mergeCell ref="AF100:AH100"/>
    <mergeCell ref="AI101:AL101"/>
    <mergeCell ref="AK100:AM100"/>
    <mergeCell ref="BH81:BI81"/>
    <mergeCell ref="BJ81:BK81"/>
    <mergeCell ref="BL81:BM81"/>
    <mergeCell ref="AA81:AB81"/>
    <mergeCell ref="AD81:AE81"/>
    <mergeCell ref="AI81:AJ81"/>
    <mergeCell ref="AK81:AL81"/>
    <mergeCell ref="AN81:AO81"/>
    <mergeCell ref="AP81:AQ81"/>
    <mergeCell ref="AS81:AT81"/>
    <mergeCell ref="AU81:AV81"/>
    <mergeCell ref="AX81:AY81"/>
  </mergeCells>
  <conditionalFormatting sqref="E99:F99">
    <cfRule type="expression" dxfId="495" priority="78">
      <formula>$E$99="Prostředky na obnovu z pachtovného / nájemného ve složce Pitná voda (součet 4.4.1+4.4.2+4.4.6) nepokrývají minimální prostředky na obnovu z listu Postup (Prostředky obnovy PV) a je nutné je navýšit!"</formula>
    </cfRule>
  </conditionalFormatting>
  <conditionalFormatting sqref="I67:I68 I74">
    <cfRule type="expression" dxfId="480" priority="98" stopIfTrue="1">
      <formula>$I$16="Neaktivní"</formula>
    </cfRule>
  </conditionalFormatting>
  <conditionalFormatting sqref="I99">
    <cfRule type="expression" dxfId="476" priority="77">
      <formula>$E$99="Prostředky na obnovu z pachtovného / nájemného ve složce Pitná voda (součet 4.4.1+4.4.2+4.4.6) nepokrývají minimální prostředky na obnovu z listu Postup (Prostředky obnovy PV) a je nutné je navýšit!"</formula>
    </cfRule>
  </conditionalFormatting>
  <conditionalFormatting sqref="I16:J56">
    <cfRule type="expression" dxfId="475" priority="37">
      <formula>$I$16="Neaktivní"</formula>
    </cfRule>
  </conditionalFormatting>
  <conditionalFormatting sqref="I66:J66">
    <cfRule type="expression" dxfId="473" priority="101" stopIfTrue="1">
      <formula>$I$16="Neaktivní"</formula>
    </cfRule>
  </conditionalFormatting>
  <conditionalFormatting sqref="I66:J74">
    <cfRule type="expression" dxfId="472" priority="36">
      <formula>$I$16="Neaktivní"</formula>
    </cfRule>
  </conditionalFormatting>
  <conditionalFormatting sqref="I73:J73">
    <cfRule type="expression" dxfId="471" priority="99" stopIfTrue="1">
      <formula>$I$16="Neaktivní"</formula>
    </cfRule>
  </conditionalFormatting>
  <conditionalFormatting sqref="I79:J94">
    <cfRule type="expression" dxfId="470" priority="35">
      <formula>$I$16="Neaktivní"</formula>
    </cfRule>
  </conditionalFormatting>
  <conditionalFormatting sqref="J67:J68">
    <cfRule type="expression" dxfId="465" priority="203" stopIfTrue="1">
      <formula>$I$16="Neaktivní"</formula>
    </cfRule>
  </conditionalFormatting>
  <conditionalFormatting sqref="J74">
    <cfRule type="expression" dxfId="462" priority="199" stopIfTrue="1">
      <formula>$I$16="Neaktivní"</formula>
    </cfRule>
  </conditionalFormatting>
  <conditionalFormatting sqref="J99">
    <cfRule type="expression" dxfId="460" priority="76">
      <formula>$F$99="Prostředky na obnovu z pachtovného / nájemného ve složce Pitná voda (součet 4.4.1+4.4.2+4.4.6) nepokrývají minimální prostředky na obnovu z listu Postup (Prostředky obnovy PV) a je nutné je navýšit!"</formula>
    </cfRule>
  </conditionalFormatting>
  <conditionalFormatting sqref="O77:O78">
    <cfRule type="expression" dxfId="454" priority="481">
      <formula>OR($O$74/$E$74&gt;1.2,$P$74/$F$74&gt;1.2)</formula>
    </cfRule>
  </conditionalFormatting>
  <conditionalFormatting sqref="O99">
    <cfRule type="expression" dxfId="452" priority="82">
      <formula>O$99="Prostředky na obnovu z pachtovného / nájemného ve složce Pitná voda (součet 4.4.1+4.4.2+4.4.6) nepokrývají minimální prostředky na obnovu z listu Postup (Prostředky obnovy PV) a je nutné je navýšit!"</formula>
    </cfRule>
  </conditionalFormatting>
  <conditionalFormatting sqref="P99">
    <cfRule type="expression" dxfId="443" priority="80">
      <formula>P$99="Prostředky na obnovu z pachtovného / nájemného ve složce Odpadní voda (součet 4.4.1+4.4.2+4.4.6) nepokrývají minimální prostředky na obnovu z listu Postup (Prostředky obnovy OV) a je nutné je navýšit!"</formula>
    </cfRule>
  </conditionalFormatting>
  <conditionalFormatting sqref="Q67:Q68 Q74">
    <cfRule type="expression" dxfId="438" priority="117" stopIfTrue="1">
      <formula>$Q$16="Neaktivní"</formula>
    </cfRule>
  </conditionalFormatting>
  <conditionalFormatting sqref="Q99">
    <cfRule type="expression" dxfId="435" priority="75">
      <formula>Q$99="Prostředky na obnovu z pachtovného / nájemného ve složce Pitná voda (součet 4.4.1+4.4.2+4.4.6) nepokrývají minimální prostředky na obnovu z listu Postup (Prostředky obnovy PV) a je nutné je navýšit!"</formula>
    </cfRule>
  </conditionalFormatting>
  <conditionalFormatting sqref="Q66:R66">
    <cfRule type="expression" dxfId="433" priority="120" stopIfTrue="1">
      <formula>$Q$16="Neaktivní"</formula>
    </cfRule>
  </conditionalFormatting>
  <conditionalFormatting sqref="Q73:R73">
    <cfRule type="expression" dxfId="432" priority="118" stopIfTrue="1">
      <formula>$Q$16="Neaktivní"</formula>
    </cfRule>
  </conditionalFormatting>
  <conditionalFormatting sqref="Q82:R94 Q17:R56 Q79:R80 Q81">
    <cfRule type="expression" dxfId="431" priority="934">
      <formula>$Q$16="Neaktivní"</formula>
    </cfRule>
  </conditionalFormatting>
  <conditionalFormatting sqref="R67:R68">
    <cfRule type="expression" dxfId="427" priority="212" stopIfTrue="1">
      <formula>$Q$16="Neaktivní"</formula>
    </cfRule>
  </conditionalFormatting>
  <conditionalFormatting sqref="R74">
    <cfRule type="expression" dxfId="424" priority="208" stopIfTrue="1">
      <formula>$Q$16="Neaktivní"</formula>
    </cfRule>
  </conditionalFormatting>
  <conditionalFormatting sqref="R99">
    <cfRule type="expression" dxfId="421" priority="74">
      <formula>R$99="Prostředky na obnovu z pachtovného / nájemného ve složce Odpadní voda (součet 4.4.1+4.4.2+4.4.6) nepokrývají minimální prostředky na obnovu z listu Postup (Prostředky obnovy OV) a je nutné je navýšit!"</formula>
    </cfRule>
  </conditionalFormatting>
  <conditionalFormatting sqref="T77:T78">
    <cfRule type="expression" dxfId="416" priority="480">
      <formula>OR($T$74/$O$74&gt;1.2,$U$74/$P$74&gt;1.2)</formula>
    </cfRule>
  </conditionalFormatting>
  <conditionalFormatting sqref="T99">
    <cfRule type="expression" dxfId="414" priority="73">
      <formula>T$99="Prostředky na obnovu z pachtovného / nájemného ve složce Pitná voda (součet 4.4.1+4.4.2+4.4.6) nepokrývají minimální prostředky na obnovu z listu Postup (Prostředky obnovy PV) a je nutné je navýšit!"</formula>
    </cfRule>
  </conditionalFormatting>
  <conditionalFormatting sqref="U99">
    <cfRule type="expression" dxfId="404" priority="72">
      <formula>U$99="Prostředky na obnovu z pachtovného / nájemného ve složce Odpadní voda (součet 4.4.1+4.4.2+4.4.6) nepokrývají minimální prostředky na obnovu z listu Postup (Prostředky obnovy OV) a je nutné je navýšit!"</formula>
    </cfRule>
  </conditionalFormatting>
  <conditionalFormatting sqref="V67:V68 V74">
    <cfRule type="expression" dxfId="400" priority="133" stopIfTrue="1">
      <formula>$V$16="Neaktivní"</formula>
    </cfRule>
  </conditionalFormatting>
  <conditionalFormatting sqref="V99">
    <cfRule type="expression" dxfId="397" priority="71">
      <formula>V$99="Prostředky na obnovu z pachtovného / nájemného ve složce Pitná voda (součet 4.4.1+4.4.2+4.4.6) nepokrývají minimální prostředky na obnovu z listu Postup (Prostředky obnovy PV) a je nutné je navýšit!"</formula>
    </cfRule>
  </conditionalFormatting>
  <conditionalFormatting sqref="V66:W66">
    <cfRule type="expression" dxfId="396" priority="136" stopIfTrue="1">
      <formula>$V$16="Neaktivní"</formula>
    </cfRule>
  </conditionalFormatting>
  <conditionalFormatting sqref="V73:W73">
    <cfRule type="expression" dxfId="395" priority="134" stopIfTrue="1">
      <formula>$V$16="Neaktivní"</formula>
    </cfRule>
  </conditionalFormatting>
  <conditionalFormatting sqref="V82:W94 V17:W56 V79:W80 V81">
    <cfRule type="expression" dxfId="394" priority="933">
      <formula>$V$16="Neaktivní"</formula>
    </cfRule>
  </conditionalFormatting>
  <conditionalFormatting sqref="W67:W68">
    <cfRule type="expression" dxfId="389" priority="220" stopIfTrue="1">
      <formula>$V$16="Neaktivní"</formula>
    </cfRule>
  </conditionalFormatting>
  <conditionalFormatting sqref="W74">
    <cfRule type="expression" dxfId="387" priority="216" stopIfTrue="1">
      <formula>$V$16="Neaktivní"</formula>
    </cfRule>
  </conditionalFormatting>
  <conditionalFormatting sqref="W99">
    <cfRule type="expression" dxfId="384" priority="70">
      <formula>W$99="Prostředky na obnovu z pachtovného / nájemného ve složce Odpadní voda (součet 4.4.1+4.4.2+4.4.6) nepokrývají minimální prostředky na obnovu z listu Postup (Prostředky obnovy OV) a je nutné je navýšit!"</formula>
    </cfRule>
  </conditionalFormatting>
  <conditionalFormatting sqref="Y77:Y78">
    <cfRule type="expression" dxfId="380" priority="479">
      <formula>OR($Y$74/$T$74&gt;1.2,$Z$74/$U$74&gt;1.2)</formula>
    </cfRule>
  </conditionalFormatting>
  <conditionalFormatting sqref="Y99">
    <cfRule type="expression" dxfId="378" priority="69">
      <formula>Y$99="Prostředky na obnovu z pachtovného / nájemného ve složce Pitná voda (součet 4.4.1+4.4.2+4.4.6) nepokrývají minimální prostředky na obnovu z listu Postup (Prostředky obnovy PV) a je nutné je navýšit!"</formula>
    </cfRule>
  </conditionalFormatting>
  <conditionalFormatting sqref="Z99">
    <cfRule type="expression" dxfId="367" priority="68">
      <formula>Z$99="Prostředky na obnovu z pachtovného / nájemného ve složce Odpadní voda (součet 4.4.1+4.4.2+4.4.6) nepokrývají minimální prostředky na obnovu z listu Postup (Prostředky obnovy OV) a je nutné je navýšit!"</formula>
    </cfRule>
  </conditionalFormatting>
  <conditionalFormatting sqref="AA67:AA68 AA74">
    <cfRule type="expression" dxfId="364" priority="147" stopIfTrue="1">
      <formula>$AA$16="Neaktivní"</formula>
    </cfRule>
  </conditionalFormatting>
  <conditionalFormatting sqref="AA99">
    <cfRule type="expression" dxfId="360" priority="67">
      <formula>AA$99="Prostředky na obnovu z pachtovného / nájemného ve složce Pitná voda (součet 4.4.1+4.4.2+4.4.6) nepokrývají minimální prostředky na obnovu z listu Postup (Prostředky obnovy PV) a je nutné je navýšit!"</formula>
    </cfRule>
  </conditionalFormatting>
  <conditionalFormatting sqref="AA66:AB66">
    <cfRule type="expression" dxfId="359" priority="150" stopIfTrue="1">
      <formula>$AA$16="Neaktivní"</formula>
    </cfRule>
  </conditionalFormatting>
  <conditionalFormatting sqref="AA73:AB73">
    <cfRule type="expression" dxfId="358" priority="148" stopIfTrue="1">
      <formula>$AA$16="Neaktivní"</formula>
    </cfRule>
  </conditionalFormatting>
  <conditionalFormatting sqref="AA82:AB94 AA17:AB56 AA79:AB80 AA81">
    <cfRule type="expression" dxfId="357" priority="932">
      <formula>$AA$16="Neaktivní"</formula>
    </cfRule>
  </conditionalFormatting>
  <conditionalFormatting sqref="AB67:AB68">
    <cfRule type="expression" dxfId="354" priority="228" stopIfTrue="1">
      <formula>$AA$16="Neaktivní"</formula>
    </cfRule>
  </conditionalFormatting>
  <conditionalFormatting sqref="AB74">
    <cfRule type="expression" dxfId="350" priority="224" stopIfTrue="1">
      <formula>$AA$16="Neaktivní"</formula>
    </cfRule>
  </conditionalFormatting>
  <conditionalFormatting sqref="AB99">
    <cfRule type="expression" dxfId="348" priority="66">
      <formula>AB$99="Prostředky na obnovu z pachtovného / nájemného ve složce Odpadní voda (součet 4.4.1+4.4.2+4.4.6) nepokrývají minimální prostředky na obnovu z listu Postup (Prostředky obnovy OV) a je nutné je navýšit!"</formula>
    </cfRule>
  </conditionalFormatting>
  <conditionalFormatting sqref="AD77:AD78">
    <cfRule type="expression" dxfId="343" priority="478">
      <formula>OR($AD$74/$Y$74&gt;1.2,$AE$74/$Z$74&gt;1.2)</formula>
    </cfRule>
  </conditionalFormatting>
  <conditionalFormatting sqref="AD99">
    <cfRule type="expression" dxfId="341" priority="65">
      <formula>AD$99="Prostředky na obnovu z pachtovného / nájemného ve složce Pitná voda (součet 4.4.1+4.4.2+4.4.6) nepokrývají minimální prostředky na obnovu z listu Postup (Prostředky obnovy PV) a je nutné je navýšit!"</formula>
    </cfRule>
  </conditionalFormatting>
  <conditionalFormatting sqref="AE99">
    <cfRule type="expression" dxfId="331" priority="64">
      <formula>AE$99="Prostředky na obnovu z pachtovného / nájemného ve složce Odpadní voda (součet 4.4.1+4.4.2+4.4.6) nepokrývají minimální prostředky na obnovu z listu Postup (Prostředky obnovy OV) a je nutné je navýšit!"</formula>
    </cfRule>
  </conditionalFormatting>
  <conditionalFormatting sqref="AF67:AF68 AF74">
    <cfRule type="expression" dxfId="327" priority="159" stopIfTrue="1">
      <formula>$AF$16="Neaktivní"</formula>
    </cfRule>
  </conditionalFormatting>
  <conditionalFormatting sqref="AF99">
    <cfRule type="expression" dxfId="323" priority="63">
      <formula>AF$99="Prostředky na obnovu z pachtovného / nájemného ve složce Pitná voda (součet 4.4.1+4.4.2+4.4.6) nepokrývají minimální prostředky na obnovu z listu Postup (Prostředky obnovy PV) a je nutné je navýšit!"</formula>
    </cfRule>
  </conditionalFormatting>
  <conditionalFormatting sqref="AF66:AG66">
    <cfRule type="expression" dxfId="321" priority="162" stopIfTrue="1">
      <formula>$AF$16="Neaktivní"</formula>
    </cfRule>
  </conditionalFormatting>
  <conditionalFormatting sqref="AF73:AG73">
    <cfRule type="expression" dxfId="320" priority="160" stopIfTrue="1">
      <formula>$AF$16="Neaktivní"</formula>
    </cfRule>
  </conditionalFormatting>
  <conditionalFormatting sqref="AF79:AG94 AF17:AG56">
    <cfRule type="expression" dxfId="319" priority="931">
      <formula>$AF$16="Neaktivní"</formula>
    </cfRule>
  </conditionalFormatting>
  <conditionalFormatting sqref="AG67:AG68">
    <cfRule type="expression" dxfId="316" priority="242" stopIfTrue="1">
      <formula>$AF$16="Neaktivní"</formula>
    </cfRule>
  </conditionalFormatting>
  <conditionalFormatting sqref="AG74">
    <cfRule type="expression" dxfId="313" priority="238" stopIfTrue="1">
      <formula>$AF$16="Neaktivní"</formula>
    </cfRule>
  </conditionalFormatting>
  <conditionalFormatting sqref="AG99">
    <cfRule type="expression" dxfId="310" priority="62">
      <formula>AG$99="Prostředky na obnovu z pachtovného / nájemného ve složce Odpadní voda (součet 4.4.1+4.4.2+4.4.6) nepokrývají minimální prostředky na obnovu z listu Postup (Prostředky obnovy OV) a je nutné je navýšit!"</formula>
    </cfRule>
  </conditionalFormatting>
  <conditionalFormatting sqref="AI77:AI78">
    <cfRule type="expression" dxfId="306" priority="477">
      <formula>OR($AI$74/$AD$74&gt;1.2,$AJ$74/$AE$74&gt;1.2)</formula>
    </cfRule>
  </conditionalFormatting>
  <conditionalFormatting sqref="AI99">
    <cfRule type="expression" dxfId="305" priority="61">
      <formula>AI$99="Prostředky na obnovu z pachtovného / nájemného ve složce Pitná voda (součet 4.4.1+4.4.2+4.4.6) nepokrývají minimální prostředky na obnovu z listu Postup (Prostředky obnovy PV) a je nutné je navýšit!"</formula>
    </cfRule>
  </conditionalFormatting>
  <conditionalFormatting sqref="AJ99">
    <cfRule type="expression" dxfId="296" priority="60">
      <formula>AJ$99="Prostředky na obnovu z pachtovného / nájemného ve složce Odpadní voda (součet 4.4.1+4.4.2+4.4.6) nepokrývají minimální prostředky na obnovu z listu Postup (Prostředky obnovy OV) a je nutné je navýšit!"</formula>
    </cfRule>
  </conditionalFormatting>
  <conditionalFormatting sqref="AK67:AK68 AK74">
    <cfRule type="expression" dxfId="293" priority="169" stopIfTrue="1">
      <formula>$AK$16="Neaktivní"</formula>
    </cfRule>
  </conditionalFormatting>
  <conditionalFormatting sqref="AK99">
    <cfRule type="expression" dxfId="289" priority="59">
      <formula>AK$99="Prostředky na obnovu z pachtovného / nájemného ve složce Pitná voda (součet 4.4.1+4.4.2+4.4.6) nepokrývají minimální prostředky na obnovu z listu Postup (Prostředky obnovy PV) a je nutné je navýšit!"</formula>
    </cfRule>
  </conditionalFormatting>
  <conditionalFormatting sqref="AK66:AL66">
    <cfRule type="expression" dxfId="288" priority="172" stopIfTrue="1">
      <formula>$AK$16="Neaktivní"</formula>
    </cfRule>
  </conditionalFormatting>
  <conditionalFormatting sqref="AK73:AL73">
    <cfRule type="expression" dxfId="287" priority="170" stopIfTrue="1">
      <formula>$AK$16="Neaktivní"</formula>
    </cfRule>
  </conditionalFormatting>
  <conditionalFormatting sqref="AK82:AL94 AK17:AL56 AK79:AL80 AK81">
    <cfRule type="expression" dxfId="286" priority="930">
      <formula>$AK$16="Neaktivní"</formula>
    </cfRule>
  </conditionalFormatting>
  <conditionalFormatting sqref="AL67:AL68">
    <cfRule type="expression" dxfId="283" priority="250" stopIfTrue="1">
      <formula>$AK$16="Neaktivní"</formula>
    </cfRule>
  </conditionalFormatting>
  <conditionalFormatting sqref="AL74">
    <cfRule type="expression" dxfId="279" priority="246" stopIfTrue="1">
      <formula>$AK$16="Neaktivní"</formula>
    </cfRule>
  </conditionalFormatting>
  <conditionalFormatting sqref="AL99">
    <cfRule type="expression" dxfId="277" priority="58">
      <formula>AL$99="Prostředky na obnovu z pachtovného / nájemného ve složce Odpadní voda (součet 4.4.1+4.4.2+4.4.6) nepokrývají minimální prostředky na obnovu z listu Postup (Prostředky obnovy OV) a je nutné je navýšit!"</formula>
    </cfRule>
  </conditionalFormatting>
  <conditionalFormatting sqref="AN77:AN78">
    <cfRule type="expression" dxfId="275" priority="476">
      <formula>OR($AN$74/$AI$74&gt;1.2,$AO$74/$AJ$74&gt;1.2)</formula>
    </cfRule>
  </conditionalFormatting>
  <conditionalFormatting sqref="AN99">
    <cfRule type="expression" dxfId="273" priority="57">
      <formula>AN$99="Prostředky na obnovu z pachtovného / nájemného ve složce Pitná voda (součet 4.4.1+4.4.2+4.4.6) nepokrývají minimální prostředky na obnovu z listu Postup (Prostředky obnovy PV) a je nutné je navýšit!"</formula>
    </cfRule>
  </conditionalFormatting>
  <conditionalFormatting sqref="AO99">
    <cfRule type="expression" dxfId="263" priority="56">
      <formula>AO$99="Prostředky na obnovu z pachtovného / nájemného ve složce Odpadní voda (součet 4.4.1+4.4.2+4.4.6) nepokrývají minimální prostředky na obnovu z listu Postup (Prostředky obnovy OV) a je nutné je navýšit!"</formula>
    </cfRule>
  </conditionalFormatting>
  <conditionalFormatting sqref="AP67:AP68 AP74">
    <cfRule type="expression" dxfId="258" priority="177" stopIfTrue="1">
      <formula>$AP$16="Neaktivní"</formula>
    </cfRule>
  </conditionalFormatting>
  <conditionalFormatting sqref="AP99">
    <cfRule type="expression" dxfId="256" priority="55">
      <formula>AP$99="Prostředky na obnovu z pachtovného / nájemného ve složce Pitná voda (součet 4.4.1+4.4.2+4.4.6) nepokrývají minimální prostředky na obnovu z listu Postup (Prostředky obnovy PV) a je nutné je navýšit!"</formula>
    </cfRule>
  </conditionalFormatting>
  <conditionalFormatting sqref="AP17:AQ56 AP82:AQ94 AP79:AQ80 AP81">
    <cfRule type="expression" dxfId="255" priority="3311" stopIfTrue="1">
      <formula>$AP$16="Neaktivní"</formula>
    </cfRule>
  </conditionalFormatting>
  <conditionalFormatting sqref="AP66:AQ66">
    <cfRule type="expression" dxfId="254" priority="180" stopIfTrue="1">
      <formula>$AP$16="Neaktivní"</formula>
    </cfRule>
  </conditionalFormatting>
  <conditionalFormatting sqref="AP73:AQ73">
    <cfRule type="expression" dxfId="253" priority="178" stopIfTrue="1">
      <formula>$AP$16="Neaktivní"</formula>
    </cfRule>
  </conditionalFormatting>
  <conditionalFormatting sqref="AQ67:AQ68">
    <cfRule type="expression" dxfId="249" priority="258" stopIfTrue="1">
      <formula>$AP$16="Neaktivní"</formula>
    </cfRule>
  </conditionalFormatting>
  <conditionalFormatting sqref="AQ74">
    <cfRule type="expression" dxfId="245" priority="254" stopIfTrue="1">
      <formula>$AP$16="Neaktivní"</formula>
    </cfRule>
  </conditionalFormatting>
  <conditionalFormatting sqref="AQ99">
    <cfRule type="expression" dxfId="244" priority="54">
      <formula>AQ$99="Prostředky na obnovu z pachtovného / nájemného ve složce Odpadní voda (součet 4.4.1+4.4.2+4.4.6) nepokrývají minimální prostředky na obnovu z listu Postup (Prostředky obnovy OV) a je nutné je navýšit!"</formula>
    </cfRule>
  </conditionalFormatting>
  <conditionalFormatting sqref="AS77:AS78">
    <cfRule type="expression" dxfId="242" priority="475">
      <formula>OR($AS$74/$AN$74&gt;1.2,$AT$74/$AO$74&gt;1.2)</formula>
    </cfRule>
  </conditionalFormatting>
  <conditionalFormatting sqref="AS99">
    <cfRule type="expression" dxfId="240" priority="53">
      <formula>AS$99="Prostředky na obnovu z pachtovného / nájemného ve složce Pitná voda (součet 4.4.1+4.4.2+4.4.6) nepokrývají minimální prostředky na obnovu z listu Postup (Prostředky obnovy PV) a je nutné je navýšit!"</formula>
    </cfRule>
  </conditionalFormatting>
  <conditionalFormatting sqref="AT99">
    <cfRule type="expression" dxfId="231" priority="52">
      <formula>AT$99="Prostředky na obnovu z pachtovného / nájemného ve složce Odpadní voda (součet 4.4.1+4.4.2+4.4.6) nepokrývají minimální prostředky na obnovu z listu Postup (Prostředky obnovy OV) a je nutné je navýšit!"</formula>
    </cfRule>
  </conditionalFormatting>
  <conditionalFormatting sqref="AU99">
    <cfRule type="expression" dxfId="225" priority="51">
      <formula>AU$99="Prostředky na obnovu z pachtovného / nájemného ve složce Pitná voda (součet 4.4.1+4.4.2+4.4.6) nepokrývají minimální prostředky na obnovu z listu Postup (Prostředky obnovy PV) a je nutné je navýšit!"</formula>
    </cfRule>
  </conditionalFormatting>
  <conditionalFormatting sqref="AU17:AV56 AU82:AV94 AU79:AV80 AU81">
    <cfRule type="expression" dxfId="224" priority="929" stopIfTrue="1">
      <formula>$AU$16="Neaktivní"</formula>
    </cfRule>
  </conditionalFormatting>
  <conditionalFormatting sqref="AU66:AV66">
    <cfRule type="expression" dxfId="223" priority="444" stopIfTrue="1">
      <formula>$AU$16="Neaktivní"</formula>
    </cfRule>
  </conditionalFormatting>
  <conditionalFormatting sqref="AU67:AV68 AU74:AV74">
    <cfRule type="expression" dxfId="222" priority="439" stopIfTrue="1">
      <formula>$AU$16="Neaktivní"</formula>
    </cfRule>
  </conditionalFormatting>
  <conditionalFormatting sqref="AU73:AV73">
    <cfRule type="expression" dxfId="221" priority="440" stopIfTrue="1">
      <formula>$AU$16="Neaktivní"</formula>
    </cfRule>
  </conditionalFormatting>
  <conditionalFormatting sqref="AV99">
    <cfRule type="expression" dxfId="215" priority="50">
      <formula>AV$99="Prostředky na obnovu z pachtovného / nájemného ve složce Odpadní voda (součet 4.4.1+4.4.2+4.4.6) nepokrývají minimální prostředky na obnovu z listu Postup (Prostředky obnovy OV) a je nutné je navýšit!"</formula>
    </cfRule>
  </conditionalFormatting>
  <conditionalFormatting sqref="AX77:AX78">
    <cfRule type="expression" dxfId="213" priority="474">
      <formula>OR($AX$74/$AS$74&gt;1.2,$AY$74/$AT$74&gt;1.2)</formula>
    </cfRule>
  </conditionalFormatting>
  <conditionalFormatting sqref="AX99">
    <cfRule type="expression" dxfId="211" priority="49">
      <formula>AX$99="Prostředky na obnovu z pachtovného / nájemného ve složce Pitná voda (součet 4.4.1+4.4.2+4.4.6) nepokrývají minimální prostředky na obnovu z listu Postup (Prostředky obnovy PV) a je nutné je navýšit!"</formula>
    </cfRule>
  </conditionalFormatting>
  <conditionalFormatting sqref="AY99">
    <cfRule type="expression" dxfId="203" priority="48">
      <formula>AY$99="Prostředky na obnovu z pachtovného / nájemného ve složce Odpadní voda (součet 4.4.1+4.4.2+4.4.6) nepokrývají minimální prostředky na obnovu z listu Postup (Prostředky obnovy OV) a je nutné je navýšit!"</formula>
    </cfRule>
  </conditionalFormatting>
  <conditionalFormatting sqref="AZ99">
    <cfRule type="expression" dxfId="197" priority="47">
      <formula>AZ$99="Prostředky na obnovu z pachtovného / nájemného ve složce Pitná voda (součet 4.4.1+4.4.2+4.4.6) nepokrývají minimální prostředky na obnovu z listu Postup (Prostředky obnovy PV) a je nutné je navýšit!"</formula>
    </cfRule>
  </conditionalFormatting>
  <conditionalFormatting sqref="AZ17:BA56 AZ82:BA94 AZ79:BA80 AZ81">
    <cfRule type="expression" dxfId="196" priority="928" stopIfTrue="1">
      <formula>$AZ$16="Neaktivní"</formula>
    </cfRule>
  </conditionalFormatting>
  <conditionalFormatting sqref="AZ66:BA66">
    <cfRule type="expression" dxfId="195" priority="428" stopIfTrue="1">
      <formula>$AZ$16="Neaktivní"</formula>
    </cfRule>
  </conditionalFormatting>
  <conditionalFormatting sqref="AZ67:BA68 AZ74:BA74">
    <cfRule type="expression" dxfId="194" priority="427">
      <formula>$AZ$16="Neaktivní"</formula>
    </cfRule>
  </conditionalFormatting>
  <conditionalFormatting sqref="AZ73:BA73">
    <cfRule type="expression" dxfId="193" priority="421" stopIfTrue="1">
      <formula>$AZ$16="Neaktivní"</formula>
    </cfRule>
  </conditionalFormatting>
  <conditionalFormatting sqref="BA99">
    <cfRule type="expression" dxfId="187" priority="46">
      <formula>BA$99="Prostředky na obnovu z pachtovného / nájemného ve složce Odpadní voda (součet 4.4.1+4.4.2+4.4.6) nepokrývají minimální prostředky na obnovu z listu Postup (Prostředky obnovy OV) a je nutné je navýšit!"</formula>
    </cfRule>
  </conditionalFormatting>
  <conditionalFormatting sqref="BC77:BC78">
    <cfRule type="expression" dxfId="185" priority="473">
      <formula>OR($BC$74/$AX$74&gt;1.2,$BD$74/$AY$74&gt;1.2)</formula>
    </cfRule>
  </conditionalFormatting>
  <conditionalFormatting sqref="BC99">
    <cfRule type="expression" dxfId="183" priority="45">
      <formula>BC$99="Prostředky na obnovu z pachtovného / nájemného ve složce Pitná voda (součet 4.4.1+4.4.2+4.4.6) nepokrývají minimální prostředky na obnovu z listu Postup (Prostředky obnovy PV) a je nutné je navýšit!"</formula>
    </cfRule>
  </conditionalFormatting>
  <conditionalFormatting sqref="BD99">
    <cfRule type="expression" dxfId="175" priority="44">
      <formula>BD$99="Prostředky na obnovu z pachtovného / nájemného ve složce Odpadní voda (součet 4.4.1+4.4.2+4.4.6) nepokrývají minimální prostředky na obnovu z listu Postup (Prostředky obnovy OV) a je nutné je navýšit!"</formula>
    </cfRule>
  </conditionalFormatting>
  <conditionalFormatting sqref="BE99">
    <cfRule type="expression" dxfId="168" priority="43">
      <formula>BE$99="Prostředky na obnovu z pachtovného / nájemného ve složce Pitná voda (součet 4.4.1+4.4.2+4.4.6) nepokrývají minimální prostředky na obnovu z listu Postup (Prostředky obnovy PV) a je nutné je navýšit!"</formula>
    </cfRule>
  </conditionalFormatting>
  <conditionalFormatting sqref="BE17:BF56 BE82:BF94 BE79:BF80 BE81">
    <cfRule type="expression" dxfId="167" priority="927" stopIfTrue="1">
      <formula>$BE$16="Neaktivní"</formula>
    </cfRule>
  </conditionalFormatting>
  <conditionalFormatting sqref="BE66:BF66">
    <cfRule type="expression" dxfId="166" priority="414" stopIfTrue="1">
      <formula>$BE$16="Neaktivní"</formula>
    </cfRule>
  </conditionalFormatting>
  <conditionalFormatting sqref="BE67:BF68">
    <cfRule type="expression" dxfId="165" priority="402">
      <formula>$BE$16="Neaktivní"</formula>
    </cfRule>
  </conditionalFormatting>
  <conditionalFormatting sqref="BE73:BF73">
    <cfRule type="expression" dxfId="164" priority="403" stopIfTrue="1">
      <formula>$BE$16="Neaktivní"</formula>
    </cfRule>
  </conditionalFormatting>
  <conditionalFormatting sqref="BE74:BF74">
    <cfRule type="expression" dxfId="163" priority="399">
      <formula>$BE$16="Neaktivní"</formula>
    </cfRule>
  </conditionalFormatting>
  <conditionalFormatting sqref="BF99">
    <cfRule type="expression" dxfId="156" priority="42">
      <formula>BF$99="Prostředky na obnovu z pachtovného / nájemného ve složce Odpadní voda (součet 4.4.1+4.4.2+4.4.6) nepokrývají minimální prostředky na obnovu z listu Postup (Prostředky obnovy OV) a je nutné je navýšit!"</formula>
    </cfRule>
  </conditionalFormatting>
  <conditionalFormatting sqref="BH77:BH78">
    <cfRule type="expression" dxfId="153" priority="472">
      <formula>OR($BH$74/$BC$74&gt;1.2,$BI$74/$BD$74&gt;1.2)</formula>
    </cfRule>
  </conditionalFormatting>
  <conditionalFormatting sqref="BH99">
    <cfRule type="expression" dxfId="151" priority="41">
      <formula>BH$99="Prostředky na obnovu z pachtovného / nájemného ve složce Pitná voda (součet 4.4.1+4.4.2+4.4.6) nepokrývají minimální prostředky na obnovu z listu Postup (Prostředky obnovy PV) a je nutné je navýšit!"</formula>
    </cfRule>
  </conditionalFormatting>
  <conditionalFormatting sqref="BI99">
    <cfRule type="expression" dxfId="142" priority="40">
      <formula>BI$99="Prostředky na obnovu z pachtovného / nájemného ve složce Odpadní voda (součet 4.4.1+4.4.2+4.4.6) nepokrývají minimální prostředky na obnovu z listu Postup (Prostředky obnovy OV) a je nutné je navýšit!"</formula>
    </cfRule>
  </conditionalFormatting>
  <conditionalFormatting sqref="BJ66">
    <cfRule type="expression" dxfId="137" priority="412">
      <formula>$BJ$16="Neaktivní"</formula>
    </cfRule>
  </conditionalFormatting>
  <conditionalFormatting sqref="BJ99">
    <cfRule type="expression" dxfId="133" priority="39">
      <formula>BJ$99="Prostředky na obnovu z pachtovného / nájemného ve složce Pitná voda (součet 4.4.1+4.4.2+4.4.6) nepokrývají minimální prostředky na obnovu z listu Postup (Prostředky obnovy PV) a je nutné je navýšit!"</formula>
    </cfRule>
  </conditionalFormatting>
  <conditionalFormatting sqref="BJ17:BK36">
    <cfRule type="expression" dxfId="132" priority="464" stopIfTrue="1">
      <formula>$BJ$16="Neaktivní"</formula>
    </cfRule>
  </conditionalFormatting>
  <conditionalFormatting sqref="BJ37:BK56 BJ82:BK94 BJ79:BK80 BJ81">
    <cfRule type="expression" dxfId="131" priority="926" stopIfTrue="1">
      <formula>$BJ$16="Neaktivní"</formula>
    </cfRule>
  </conditionalFormatting>
  <conditionalFormatting sqref="BJ67:BK68">
    <cfRule type="expression" dxfId="130" priority="389">
      <formula>$BJ$16="Neaktivní"</formula>
    </cfRule>
  </conditionalFormatting>
  <conditionalFormatting sqref="BJ73:BK73">
    <cfRule type="expression" dxfId="129" priority="393" stopIfTrue="1">
      <formula>$BJ$16="Neaktivní"</formula>
    </cfRule>
  </conditionalFormatting>
  <conditionalFormatting sqref="BJ74:BK74">
    <cfRule type="expression" dxfId="128" priority="385">
      <formula>$BJ$16="Neaktivní"</formula>
    </cfRule>
  </conditionalFormatting>
  <conditionalFormatting sqref="BK66">
    <cfRule type="expression" dxfId="124" priority="410" stopIfTrue="1">
      <formula>$BJ$16="Neaktivní"</formula>
    </cfRule>
  </conditionalFormatting>
  <conditionalFormatting sqref="BK99">
    <cfRule type="expression" dxfId="119" priority="38">
      <formula>BK$99="Prostředky na obnovu z pachtovného / nájemného ve složce Odpadní voda (součet 4.4.1+4.4.2+4.4.6) nepokrývají minimální prostředky na obnovu z listu Postup (Prostředky obnovy OV) a je nutné je navýšit!"</formula>
    </cfRule>
  </conditionalFormatting>
  <dataValidations count="5">
    <dataValidation type="date" allowBlank="1" showInputMessage="1" showErrorMessage="1" error="Datum musí být zadáno ve tvaru DD.MM.RRRR a v rozmezí roku, pro který je Aktualizace _x000a_Kalkulace zpracovávaná." sqref="R17 AL17 AB17 AG17 W17 AQ17 AV17 BA17 BF17 BK17 BP17" xr:uid="{00000000-0002-0000-0300-000000000000}">
      <formula1>DATE(Q19,1,1)</formula1>
      <formula2>DATE(Q19,12,31)</formula2>
    </dataValidation>
    <dataValidation type="decimal" operator="lessThanOrEqual" allowBlank="1" showInputMessage="1" showErrorMessage="1" error="Je třeba uvést v záporné hodnotě." sqref="BN43:BP43" xr:uid="{00000000-0002-0000-0300-000001000000}">
      <formula1>0</formula1>
    </dataValidation>
    <dataValidation type="list" allowBlank="1" showInputMessage="1" showErrorMessage="1" sqref="BO16:BP16" xr:uid="{00000000-0002-0000-0300-000002000000}">
      <formula1>$B$47:$B$49</formula1>
    </dataValidation>
    <dataValidation errorStyle="warning" operator="greaterThanOrEqual" allowBlank="1" showInputMessage="1" error="Nájemné nižší než je nájemné uvedené na listu Postup může být vloženo pouze se souhlasem SFŽP." sqref="BC36:BD36 AX36:AY36 AS36:AT36 AN36:AO36 AI36:AJ36 AD36:AE36 Y36:Z36 T36:U36 O36:P36 BH36:BI36 E36:F36" xr:uid="{00000000-0002-0000-0300-000003000000}"/>
    <dataValidation type="decimal" errorStyle="warning" operator="greaterThanOrEqual" allowBlank="1" showInputMessage="1" showErrorMessage="1" error="Nájemné nižší, než minimální prostředky na obnovu, uvedené na listu Postup, může být vloženo pouze se souhlasem SFŽP ČR." sqref="AY37 U37 Z37 AE37 AJ37 AO37 AT37" xr:uid="{00000000-0002-0000-0300-000004000000}">
      <formula1>G33*S36</formula1>
    </dataValidation>
  </dataValidations>
  <pageMargins left="0.7" right="0.7" top="0.78740157499999996" bottom="0.78740157499999996" header="0.3" footer="0.3"/>
  <pageSetup paperSize="9" scale="48" orientation="landscape" r:id="rId1"/>
  <rowBreaks count="2" manualBreakCount="2">
    <brk id="60" max="16383" man="1"/>
    <brk id="99" max="16383" man="1"/>
  </rowBreaks>
  <colBreaks count="2" manualBreakCount="2">
    <brk id="23" max="1048575" man="1"/>
    <brk id="48" max="1048575" man="1"/>
  </colBreaks>
  <ignoredErrors>
    <ignoredError sqref="G38:H38 G33:H33 G30:H30 G27:H27 G47:H47 S47 S38 S33 S30 S27 S22 BG49:BG56 BB49:BB56 AW49:AW56 AR49:AR56 AM49:AM56 AH49:AH56 AC49:AC56 X49:X56 P91:Q91 AE91 BI91:BL91 BD91:BE91 AY91:AZ91 AT91:AU91 AO91:AP91 AJ91:AK91 BL47:BM47 BL27:BM35 U91:V91 Z91:AA91 Z88:AA89 U88:V89 AJ88:AK89 AO88:AP89 AT88:AU89 AY88:AZ89 BD88:BE89 BI88:BL89 AE88:AE89 P88:Q88 X47 AC47 AH47 AM47 AR47 AW47 BB47 BG47 BG22:BG45 BB22:BB45 AW22:AW45 AR22:AR45 AM22:AM45 AH22:AH45 AC22:AC45 X22:X45 BL38:BM38 BM37 Q89" formula="1"/>
    <ignoredError sqref="E3 E13 F5:F11 F14 G13:H13 I5:I11 I14 J13:K13 L5:L6 O5:O11 L14 O14 R5 S13:T13 U5 S3:T3 P3:Q3 M3:N3 J3:K3 G3:H3 R6:R11 U6:U11 R14 E97 L7:L11 AG6:AG11 U14 V13:W13 AG5 V4:W4 V3:AG3 V5:AF5 Y13:Z13 X6:X11 X14 AA6:AA11 AA14 AD6:AD11 AD14 AG14 AE4:AF4 AB4:AC4 Y4:Z4 BL97" unlockedFormula="1"/>
    <ignoredError sqref="F13 I13 N13:R13 L13:M13 U13 X13 AE13:AF13 AB13:AD13 AA13 AG13" formula="1" unlockedFormula="1"/>
    <ignoredError sqref="I38 I47:J47 Q38:R38" formulaRange="1"/>
  </ignoredErrors>
  <extLst>
    <ext xmlns:x14="http://schemas.microsoft.com/office/spreadsheetml/2009/9/main" uri="{78C0D931-6437-407d-A8EE-F0AAD7539E65}">
      <x14:conditionalFormattings>
        <x14:conditionalFormatting xmlns:xm="http://schemas.microsoft.com/office/excel/2006/main">
          <x14:cfRule type="expression" priority="4509" id="{95F9FA1B-36E7-4737-8EF4-595763DAFF09}">
            <xm:f>Postup!$J$25&lt;$H$3</xm:f>
            <x14:dxf>
              <font>
                <color theme="1"/>
              </font>
              <fill>
                <patternFill>
                  <bgColor theme="0" tint="-0.24994659260841701"/>
                </patternFill>
              </fill>
            </x14:dxf>
          </x14:cfRule>
          <xm:sqref>E3:E14 F5:F14</xm:sqref>
        </x14:conditionalFormatting>
        <x14:conditionalFormatting xmlns:xm="http://schemas.microsoft.com/office/excel/2006/main">
          <x14:cfRule type="expression" priority="796" id="{63CD9F22-E5AE-459D-9CC5-689E88B89CBB}">
            <xm:f>Postup!$K$21="2"</xm:f>
            <x14:dxf>
              <font>
                <color theme="1"/>
              </font>
              <fill>
                <patternFill>
                  <bgColor theme="0" tint="-0.24994659260841701"/>
                </patternFill>
              </fill>
            </x14:dxf>
          </x14:cfRule>
          <xm:sqref>E20:E35</xm:sqref>
        </x14:conditionalFormatting>
        <x14:conditionalFormatting xmlns:xm="http://schemas.microsoft.com/office/excel/2006/main">
          <x14:cfRule type="expression" priority="20" id="{5F870331-4A9D-42BC-867D-3CDC1F77E9E4}">
            <xm:f>Postup!$K$21="2"</xm:f>
            <x14:dxf>
              <font>
                <color auto="1"/>
              </font>
              <fill>
                <patternFill>
                  <bgColor theme="0" tint="-0.24994659260841701"/>
                </patternFill>
              </fill>
            </x14:dxf>
          </x14:cfRule>
          <xm:sqref>E36</xm:sqref>
        </x14:conditionalFormatting>
        <x14:conditionalFormatting xmlns:xm="http://schemas.microsoft.com/office/excel/2006/main">
          <x14:cfRule type="expression" priority="908" id="{52D78A58-3860-4B86-843E-331DE0B0A51C}">
            <xm:f>Postup!$J$78="Ne"</xm:f>
            <x14:dxf>
              <font>
                <color theme="1"/>
              </font>
              <fill>
                <patternFill>
                  <bgColor theme="0" tint="-0.24994659260841701"/>
                </patternFill>
              </fill>
            </x14:dxf>
          </x14:cfRule>
          <xm:sqref>E101 O101 E102:F103 O102:P103</xm:sqref>
        </x14:conditionalFormatting>
        <x14:conditionalFormatting xmlns:xm="http://schemas.microsoft.com/office/excel/2006/main">
          <x14:cfRule type="expression" priority="849" id="{950F0442-149E-40D9-96DC-120B43203F59}">
            <xm:f>Postup!$K$21="2"</xm:f>
            <x14:dxf>
              <font>
                <color theme="1"/>
              </font>
              <fill>
                <patternFill>
                  <bgColor theme="0" tint="-0.24994659260841701"/>
                </patternFill>
              </fill>
            </x14:dxf>
          </x14:cfRule>
          <xm:sqref>E105</xm:sqref>
        </x14:conditionalFormatting>
        <x14:conditionalFormatting xmlns:xm="http://schemas.microsoft.com/office/excel/2006/main">
          <x14:cfRule type="expression" priority="850" id="{27E3E4C5-2C31-4BEB-AA57-4A909F6B8C9B}">
            <xm:f>Postup!$J$78="Ne"</xm:f>
            <x14:dxf>
              <font>
                <color theme="1"/>
              </font>
              <fill>
                <patternFill>
                  <bgColor theme="0" tint="-0.24994659260841701"/>
                </patternFill>
              </fill>
            </x14:dxf>
          </x14:cfRule>
          <xm:sqref>E105:F105</xm:sqref>
        </x14:conditionalFormatting>
        <x14:conditionalFormatting xmlns:xm="http://schemas.microsoft.com/office/excel/2006/main">
          <x14:cfRule type="expression" priority="3" id="{536AD1CD-CB17-4723-BF62-FF3AABFC341E}">
            <xm:f>Postup!$K$18="1"</xm:f>
            <x14:dxf>
              <font>
                <color auto="1"/>
              </font>
              <fill>
                <patternFill>
                  <bgColor theme="0" tint="-0.24994659260841701"/>
                </patternFill>
              </fill>
            </x14:dxf>
          </x14:cfRule>
          <xm:sqref>E66:J74</xm:sqref>
        </x14:conditionalFormatting>
        <x14:conditionalFormatting xmlns:xm="http://schemas.microsoft.com/office/excel/2006/main">
          <x14:cfRule type="expression" priority="2" id="{F06043EB-3360-496C-801D-E63A6669E944}">
            <xm:f>Postup!$K$18="1"</xm:f>
            <x14:dxf>
              <font>
                <color auto="1"/>
              </font>
              <fill>
                <patternFill>
                  <bgColor theme="0" tint="-0.24994659260841701"/>
                </patternFill>
              </fill>
            </x14:dxf>
          </x14:cfRule>
          <xm:sqref>E82:J94</xm:sqref>
        </x14:conditionalFormatting>
        <x14:conditionalFormatting xmlns:xm="http://schemas.microsoft.com/office/excel/2006/main">
          <x14:cfRule type="expression" priority="1220" id="{EADF344D-8CA1-4CB8-93D6-F77C1D32E5BF}">
            <xm:f>Postup!$J$25&lt;$H$3</xm:f>
            <x14:dxf>
              <font>
                <color theme="1"/>
              </font>
              <fill>
                <patternFill>
                  <bgColor theme="0" tint="-0.24994659260841701"/>
                </patternFill>
              </fill>
            </x14:dxf>
          </x14:cfRule>
          <xm:sqref>F3</xm:sqref>
        </x14:conditionalFormatting>
        <x14:conditionalFormatting xmlns:xm="http://schemas.microsoft.com/office/excel/2006/main">
          <x14:cfRule type="expression" priority="21" id="{872F3516-B3A8-4B39-BFAA-51EE54834430}">
            <xm:f>Postup!$K$21="1"</xm:f>
            <x14:dxf>
              <font>
                <color auto="1"/>
              </font>
              <fill>
                <patternFill>
                  <bgColor theme="0" tint="-0.24994659260841701"/>
                </patternFill>
              </fill>
            </x14:dxf>
          </x14:cfRule>
          <xm:sqref>F36</xm:sqref>
        </x14:conditionalFormatting>
        <x14:conditionalFormatting xmlns:xm="http://schemas.microsoft.com/office/excel/2006/main">
          <x14:cfRule type="expression" priority="851" id="{996555BF-1A85-453E-85B6-82604DA49502}">
            <xm:f>Postup!$K$21="1"</xm:f>
            <x14:dxf>
              <font>
                <color theme="1"/>
              </font>
              <fill>
                <patternFill>
                  <bgColor theme="0" tint="-0.24994659260841701"/>
                </patternFill>
              </fill>
            </x14:dxf>
          </x14:cfRule>
          <xm:sqref>F105</xm:sqref>
        </x14:conditionalFormatting>
        <x14:conditionalFormatting xmlns:xm="http://schemas.microsoft.com/office/excel/2006/main">
          <x14:cfRule type="expression" priority="916" id="{5DD8F6E0-3C87-4749-B6F8-51AFB2ACE8E9}">
            <xm:f>Postup!$K$21="2"</xm:f>
            <x14:dxf>
              <font>
                <color theme="1"/>
              </font>
              <fill>
                <patternFill>
                  <bgColor theme="0" tint="-0.24994659260841701"/>
                </patternFill>
              </fill>
            </x14:dxf>
          </x14:cfRule>
          <xm:sqref>G80:G94 G20:G56</xm:sqref>
        </x14:conditionalFormatting>
        <x14:conditionalFormatting xmlns:xm="http://schemas.microsoft.com/office/excel/2006/main">
          <x14:cfRule type="expression" priority="4554" id="{7E4FBA1A-B667-4E5C-985A-CCC6929C7DCD}">
            <xm:f>Postup!$J$25&lt;$K$3</xm:f>
            <x14:dxf>
              <font>
                <color theme="1"/>
              </font>
              <fill>
                <patternFill>
                  <bgColor theme="0" tint="-0.24994659260841701"/>
                </patternFill>
              </fill>
            </x14:dxf>
          </x14:cfRule>
          <xm:sqref>G3:H4 H5:I5 G6:I14</xm:sqref>
        </x14:conditionalFormatting>
        <x14:conditionalFormatting xmlns:xm="http://schemas.microsoft.com/office/excel/2006/main">
          <x14:cfRule type="expression" priority="907" id="{6A5EB64C-7F5A-4BA9-8636-5C528D3E8B0F}">
            <xm:f>AND(DAY(Postup!$H$24)=1,MONTH(Postup!$H$24)=1)</xm:f>
            <x14:dxf>
              <font>
                <color theme="1"/>
              </font>
              <fill>
                <patternFill>
                  <bgColor theme="0" tint="-0.24994659260841701"/>
                </patternFill>
              </fill>
            </x14:dxf>
          </x14:cfRule>
          <xm:sqref>G82:H94 G18:H56 G79:H80 G81</xm:sqref>
        </x14:conditionalFormatting>
        <x14:conditionalFormatting xmlns:xm="http://schemas.microsoft.com/office/excel/2006/main">
          <x14:cfRule type="expression" priority="4062" id="{B9539476-EE2C-4373-93A1-7BB397099D34}">
            <xm:f>Postup!$K$21="1"</xm:f>
            <x14:dxf>
              <font>
                <color theme="1"/>
              </font>
              <fill>
                <patternFill>
                  <bgColor theme="0" tint="-0.24994659260841701"/>
                </patternFill>
              </fill>
            </x14:dxf>
          </x14:cfRule>
          <xm:sqref>H82:H94 H20:H56 H80</xm:sqref>
        </x14:conditionalFormatting>
        <x14:conditionalFormatting xmlns:xm="http://schemas.microsoft.com/office/excel/2006/main">
          <x14:cfRule type="expression" priority="1221" id="{ED8A12A6-BEE0-48FE-9391-4090D104E229}">
            <xm:f>Postup!$J$25&lt;$K$3</xm:f>
            <x14:dxf>
              <font>
                <color theme="1"/>
              </font>
              <fill>
                <patternFill>
                  <bgColor theme="0" tint="-0.24994659260841701"/>
                </patternFill>
              </fill>
            </x14:dxf>
          </x14:cfRule>
          <xm:sqref>I3</xm:sqref>
        </x14:conditionalFormatting>
        <x14:conditionalFormatting xmlns:xm="http://schemas.microsoft.com/office/excel/2006/main">
          <x14:cfRule type="expression" priority="552" id="{BA6B5F3F-B475-426E-B1B1-E3A17F9FB7DB}">
            <xm:f>Postup!$K$21="2"</xm:f>
            <x14:dxf>
              <font>
                <color theme="1"/>
              </font>
              <fill>
                <patternFill>
                  <bgColor theme="0" tint="-0.24994659260841701"/>
                </patternFill>
              </fill>
            </x14:dxf>
          </x14:cfRule>
          <xm:sqref>I20:I56</xm:sqref>
        </x14:conditionalFormatting>
        <x14:conditionalFormatting xmlns:xm="http://schemas.microsoft.com/office/excel/2006/main">
          <x14:cfRule type="expression" priority="102" id="{8CF4A2EF-881C-44A0-8622-11498A519138}">
            <xm:f>Postup!$K$21="2"</xm:f>
            <x14:dxf>
              <font>
                <color theme="1"/>
              </font>
              <fill>
                <patternFill>
                  <bgColor theme="0" tint="-0.24994659260841701"/>
                </patternFill>
              </fill>
            </x14:dxf>
          </x14:cfRule>
          <xm:sqref>I66</xm:sqref>
        </x14:conditionalFormatting>
        <x14:conditionalFormatting xmlns:xm="http://schemas.microsoft.com/office/excel/2006/main">
          <x14:cfRule type="expression" priority="115" id="{0DB833EE-D364-4605-AA61-927AC359D36A}">
            <xm:f>Postup!$K$21="0"</xm:f>
            <x14:dxf>
              <fill>
                <patternFill>
                  <bgColor theme="0" tint="-0.24994659260841701"/>
                </patternFill>
              </fill>
            </x14:dxf>
          </x14:cfRule>
          <xm:sqref>I66:I74</xm:sqref>
        </x14:conditionalFormatting>
        <x14:conditionalFormatting xmlns:xm="http://schemas.microsoft.com/office/excel/2006/main">
          <x14:cfRule type="expression" priority="97" id="{FDCAE400-0010-41B0-8C6A-215A27C7A992}">
            <xm:f>Postup!$K$21="2"</xm:f>
            <x14:dxf>
              <fill>
                <patternFill>
                  <bgColor theme="0" tint="-0.24994659260841701"/>
                </patternFill>
              </fill>
            </x14:dxf>
          </x14:cfRule>
          <xm:sqref>I67:I68 I74</xm:sqref>
        </x14:conditionalFormatting>
        <x14:conditionalFormatting xmlns:xm="http://schemas.microsoft.com/office/excel/2006/main">
          <x14:cfRule type="expression" priority="100" id="{81F4A80E-C7E1-48A9-B85F-8206A6AB6FB0}">
            <xm:f>Postup!$K$21="2"</xm:f>
            <x14:dxf>
              <font>
                <color theme="1"/>
              </font>
              <fill>
                <patternFill>
                  <bgColor theme="0" tint="-0.24994659260841701"/>
                </patternFill>
              </fill>
            </x14:dxf>
          </x14:cfRule>
          <xm:sqref>I73</xm:sqref>
        </x14:conditionalFormatting>
        <x14:conditionalFormatting xmlns:xm="http://schemas.microsoft.com/office/excel/2006/main">
          <x14:cfRule type="expression" priority="935" id="{B1D38A4D-3373-47DF-9A42-080BA740F1AA}">
            <xm:f>Postup!$K$21="2"</xm:f>
            <x14:dxf>
              <font>
                <color theme="1"/>
              </font>
              <fill>
                <patternFill>
                  <bgColor theme="0" tint="-0.24994659260841701"/>
                </patternFill>
              </fill>
            </x14:dxf>
          </x14:cfRule>
          <xm:sqref>I80:I94</xm:sqref>
        </x14:conditionalFormatting>
        <x14:conditionalFormatting xmlns:xm="http://schemas.microsoft.com/office/excel/2006/main">
          <x14:cfRule type="expression" priority="551" id="{1E9F5F65-AA36-44FD-A9F6-5738D198B856}">
            <xm:f>AND(DAY(Postup!$H$24)=1,MONTH(Postup!$H$24)=1)</xm:f>
            <x14:dxf>
              <font>
                <color theme="1"/>
              </font>
              <fill>
                <patternFill>
                  <bgColor theme="0" tint="-0.24994659260841701"/>
                </patternFill>
              </fill>
            </x14:dxf>
          </x14:cfRule>
          <xm:sqref>I48:J48</xm:sqref>
        </x14:conditionalFormatting>
        <x14:conditionalFormatting xmlns:xm="http://schemas.microsoft.com/office/excel/2006/main">
          <x14:cfRule type="expression" priority="553" id="{830AB6C4-15FB-4AC1-860E-E14EE3C1DF0C}">
            <xm:f>Postup!$K$21="1"</xm:f>
            <x14:dxf>
              <font>
                <color theme="1"/>
              </font>
              <fill>
                <patternFill>
                  <bgColor theme="0" tint="-0.24994659260841701"/>
                </patternFill>
              </fill>
            </x14:dxf>
          </x14:cfRule>
          <xm:sqref>J20:J56</xm:sqref>
        </x14:conditionalFormatting>
        <x14:conditionalFormatting xmlns:xm="http://schemas.microsoft.com/office/excel/2006/main">
          <x14:cfRule type="expression" priority="205" id="{B736EC65-E835-4C4D-B6F8-DAC1CE034373}">
            <xm:f>Postup!$K$21="1"</xm:f>
            <x14:dxf>
              <font>
                <color theme="1"/>
              </font>
              <fill>
                <patternFill>
                  <bgColor theme="0" tint="-0.24994659260841701"/>
                </patternFill>
              </fill>
            </x14:dxf>
          </x14:cfRule>
          <xm:sqref>J66</xm:sqref>
        </x14:conditionalFormatting>
        <x14:conditionalFormatting xmlns:xm="http://schemas.microsoft.com/office/excel/2006/main">
          <x14:cfRule type="expression" priority="206" id="{B97DB565-F551-43CB-BC28-2755476B16A1}">
            <xm:f>Postup!$K$21="0"</xm:f>
            <x14:dxf>
              <fill>
                <patternFill>
                  <bgColor theme="0" tint="-0.24994659260841701"/>
                </patternFill>
              </fill>
            </x14:dxf>
          </x14:cfRule>
          <xm:sqref>J66:J74</xm:sqref>
        </x14:conditionalFormatting>
        <x14:conditionalFormatting xmlns:xm="http://schemas.microsoft.com/office/excel/2006/main">
          <x14:cfRule type="expression" priority="202" id="{9B4BF103-85FD-4C7C-B3A6-BA3766FD38F9}">
            <xm:f>Postup!$K$21="1"</xm:f>
            <x14:dxf>
              <fill>
                <patternFill>
                  <bgColor theme="0" tint="-0.24994659260841701"/>
                </patternFill>
              </fill>
            </x14:dxf>
          </x14:cfRule>
          <xm:sqref>J67:J68</xm:sqref>
        </x14:conditionalFormatting>
        <x14:conditionalFormatting xmlns:xm="http://schemas.microsoft.com/office/excel/2006/main">
          <x14:cfRule type="expression" priority="201" id="{56DADB11-681C-4543-A982-9292C4477EFF}">
            <xm:f>Postup!$K$21="1"</xm:f>
            <x14:dxf>
              <font>
                <color theme="1"/>
              </font>
              <fill>
                <patternFill>
                  <bgColor theme="0" tint="-0.24994659260841701"/>
                </patternFill>
              </fill>
            </x14:dxf>
          </x14:cfRule>
          <xm:sqref>J73</xm:sqref>
        </x14:conditionalFormatting>
        <x14:conditionalFormatting xmlns:xm="http://schemas.microsoft.com/office/excel/2006/main">
          <x14:cfRule type="expression" priority="198" id="{AA3636BF-1AFA-4E33-B710-28C16A5F366A}">
            <xm:f>Postup!$K$21="1"</xm:f>
            <x14:dxf>
              <fill>
                <patternFill>
                  <bgColor theme="0" tint="-0.24994659260841701"/>
                </patternFill>
              </fill>
            </x14:dxf>
          </x14:cfRule>
          <xm:sqref>J74</xm:sqref>
        </x14:conditionalFormatting>
        <x14:conditionalFormatting xmlns:xm="http://schemas.microsoft.com/office/excel/2006/main">
          <x14:cfRule type="expression" priority="3325" id="{42A8222E-1C0D-454C-9AB7-D9E9456998B6}">
            <xm:f>Postup!$K$21="1"</xm:f>
            <x14:dxf>
              <font>
                <color theme="1"/>
              </font>
              <fill>
                <patternFill>
                  <bgColor theme="0" tint="-0.24994659260841701"/>
                </patternFill>
              </fill>
            </x14:dxf>
          </x14:cfRule>
          <xm:sqref>J80 J82:J94</xm:sqref>
        </x14:conditionalFormatting>
        <x14:conditionalFormatting xmlns:xm="http://schemas.microsoft.com/office/excel/2006/main">
          <x14:cfRule type="expression" priority="4558" id="{50F88D5F-0A7A-453F-AFD3-9370B61E5866}">
            <xm:f>Postup!$J$25&lt;$N$3</xm:f>
            <x14:dxf>
              <font>
                <color theme="1"/>
              </font>
              <fill>
                <patternFill>
                  <bgColor theme="0" tint="-0.24994659260841701"/>
                </patternFill>
              </fill>
            </x14:dxf>
          </x14:cfRule>
          <xm:sqref>J3:K4 K5:L5 J6:L14</xm:sqref>
        </x14:conditionalFormatting>
        <x14:conditionalFormatting xmlns:xm="http://schemas.microsoft.com/office/excel/2006/main">
          <x14:cfRule type="expression" priority="1222" id="{8DD4BCCC-CD4A-4461-BC64-5A02D2639D6D}">
            <xm:f>Postup!$J$25&lt;$N$3</xm:f>
            <x14:dxf>
              <font>
                <color theme="1"/>
              </font>
              <fill>
                <patternFill>
                  <bgColor theme="0" tint="-0.24994659260841701"/>
                </patternFill>
              </fill>
            </x14:dxf>
          </x14:cfRule>
          <xm:sqref>L3</xm:sqref>
        </x14:conditionalFormatting>
        <x14:conditionalFormatting xmlns:xm="http://schemas.microsoft.com/office/excel/2006/main">
          <x14:cfRule type="expression" priority="4562" id="{7940E2AA-2BFD-4143-B906-6EF175F40023}">
            <xm:f>Postup!$J$25&lt;$Q$3</xm:f>
            <x14:dxf>
              <font>
                <b val="0"/>
                <i val="0"/>
                <color theme="1"/>
              </font>
              <fill>
                <patternFill>
                  <bgColor theme="0" tint="-0.24994659260841701"/>
                </patternFill>
              </fill>
            </x14:dxf>
          </x14:cfRule>
          <xm:sqref>M3:N4 N5:O5 M6:O14</xm:sqref>
        </x14:conditionalFormatting>
        <x14:conditionalFormatting xmlns:xm="http://schemas.microsoft.com/office/excel/2006/main">
          <x14:cfRule type="expression" priority="1223" id="{9431760E-9A6C-41F3-82A5-EBAF9EE8537F}">
            <xm:f>Postup!$J$25&lt;$Q$3</xm:f>
            <x14:dxf>
              <font>
                <b val="0"/>
                <i val="0"/>
                <color theme="1"/>
              </font>
              <fill>
                <patternFill>
                  <bgColor theme="0" tint="-0.24994659260841701"/>
                </patternFill>
              </fill>
            </x14:dxf>
          </x14:cfRule>
          <xm:sqref>O3</xm:sqref>
        </x14:conditionalFormatting>
        <x14:conditionalFormatting xmlns:xm="http://schemas.microsoft.com/office/excel/2006/main">
          <x14:cfRule type="expression" priority="280" id="{74CB0E2B-D83E-4C56-8DE2-28008071F116}">
            <xm:f>Postup!$K$21="2"</xm:f>
            <x14:dxf>
              <font>
                <color theme="1"/>
              </font>
              <fill>
                <patternFill>
                  <bgColor theme="0" tint="-0.24994659260841701"/>
                </patternFill>
              </fill>
            </x14:dxf>
          </x14:cfRule>
          <xm:sqref>O20:O56</xm:sqref>
        </x14:conditionalFormatting>
        <x14:conditionalFormatting xmlns:xm="http://schemas.microsoft.com/office/excel/2006/main">
          <x14:cfRule type="expression" priority="884" id="{17AAF6CA-42EC-4483-9234-CC624942437F}">
            <xm:f>Postup!$K$21="2"</xm:f>
            <x14:dxf>
              <font>
                <color theme="1"/>
              </font>
              <fill>
                <patternFill>
                  <bgColor theme="0" tint="-0.24994659260841701"/>
                </patternFill>
              </fill>
            </x14:dxf>
          </x14:cfRule>
          <xm:sqref>O80:O94 O97</xm:sqref>
        </x14:conditionalFormatting>
        <x14:conditionalFormatting xmlns:xm="http://schemas.microsoft.com/office/excel/2006/main">
          <x14:cfRule type="expression" priority="279" id="{E25A7B67-1E1D-413B-99E1-DB2F34AC4AF5}">
            <xm:f>$O$18&gt;Postup!$J$25</xm:f>
            <x14:dxf>
              <font>
                <color theme="1"/>
              </font>
              <fill>
                <patternFill>
                  <bgColor theme="0" tint="-0.24994659260841701"/>
                </patternFill>
              </fill>
            </x14:dxf>
          </x14:cfRule>
          <xm:sqref>O18:P56</xm:sqref>
        </x14:conditionalFormatting>
        <x14:conditionalFormatting xmlns:xm="http://schemas.microsoft.com/office/excel/2006/main">
          <x14:cfRule type="expression" priority="83" id="{89E9E562-F424-47A1-81E0-F19317AF7CC4}">
            <xm:f>$O$18&gt;Postup!$J$25</xm:f>
            <x14:dxf>
              <font>
                <color auto="1"/>
              </font>
              <fill>
                <patternFill>
                  <bgColor theme="0" tint="-0.24994659260841701"/>
                </patternFill>
              </fill>
            </x14:dxf>
          </x14:cfRule>
          <xm:sqref>O66:P74</xm:sqref>
        </x14:conditionalFormatting>
        <x14:conditionalFormatting xmlns:xm="http://schemas.microsoft.com/office/excel/2006/main">
          <x14:cfRule type="expression" priority="33" id="{604ABE91-1476-48BE-9549-14AB7CEEE910}">
            <xm:f>$O$18&gt;Postup!$J$25</xm:f>
            <x14:dxf>
              <font>
                <color auto="1"/>
              </font>
              <fill>
                <patternFill>
                  <bgColor theme="0" tint="-0.24994659260841701"/>
                </patternFill>
              </fill>
            </x14:dxf>
          </x14:cfRule>
          <xm:sqref>O79:P94</xm:sqref>
        </x14:conditionalFormatting>
        <x14:conditionalFormatting xmlns:xm="http://schemas.microsoft.com/office/excel/2006/main">
          <x14:cfRule type="expression" priority="31" id="{37EEDDBE-1A1E-442C-ADA2-45877214E2D5}">
            <xm:f>$O$18&gt;Postup!$J$25</xm:f>
            <x14:dxf>
              <font>
                <color auto="1"/>
              </font>
              <fill>
                <patternFill>
                  <bgColor theme="0" tint="-0.24994659260841701"/>
                </patternFill>
              </fill>
            </x14:dxf>
          </x14:cfRule>
          <xm:sqref>O97:P97</xm:sqref>
        </x14:conditionalFormatting>
        <x14:conditionalFormatting xmlns:xm="http://schemas.microsoft.com/office/excel/2006/main">
          <x14:cfRule type="expression" priority="545" id="{7043DA4D-EC03-4BF3-A674-F3F477031472}">
            <xm:f>AND(DAY(Postup!$H$24)=1,MONTH(Postup!$H$24)=1)</xm:f>
            <x14:dxf>
              <font>
                <color theme="1"/>
              </font>
              <fill>
                <patternFill>
                  <bgColor theme="0" tint="-0.24994659260841701"/>
                </patternFill>
              </fill>
            </x14:dxf>
          </x14:cfRule>
          <xm:sqref>O48:R48</xm:sqref>
        </x14:conditionalFormatting>
        <x14:conditionalFormatting xmlns:xm="http://schemas.microsoft.com/office/excel/2006/main">
          <x14:cfRule type="expression" priority="1" id="{D9356836-DFFD-4C84-8A4C-D5FDC0D15A5A}">
            <xm:f>Postup!$K$18="1"</xm:f>
            <x14:dxf>
              <font>
                <color auto="1"/>
              </font>
              <fill>
                <patternFill>
                  <bgColor theme="0" tint="-0.24994659260841701"/>
                </patternFill>
              </fill>
            </x14:dxf>
          </x14:cfRule>
          <xm:sqref>O66:R74 T66:W74 Y66:AB74 AD66:AG74 AI66:AL74 AN66:AQ74 AS66:AV74 AX66:BA74 BC66:BF74 BH66:BM74 O82:R94 T82:W94 Y82:AB94 AD82:AG94 AI82:AL94 AN82:AQ94 AS82:AV94 AX82:BA94 BC82:BF94 BH82:BM94</xm:sqref>
        </x14:conditionalFormatting>
        <x14:conditionalFormatting xmlns:xm="http://schemas.microsoft.com/office/excel/2006/main">
          <x14:cfRule type="expression" priority="283" id="{1C0E7498-8EFA-4E68-965D-AAFD82A3A5C1}">
            <xm:f>Postup!$K$21="1"</xm:f>
            <x14:dxf>
              <font>
                <color theme="1"/>
              </font>
              <fill>
                <patternFill>
                  <bgColor theme="0" tint="-0.24994659260841701"/>
                </patternFill>
              </fill>
            </x14:dxf>
          </x14:cfRule>
          <xm:sqref>P20:P56</xm:sqref>
        </x14:conditionalFormatting>
        <x14:conditionalFormatting xmlns:xm="http://schemas.microsoft.com/office/excel/2006/main">
          <x14:cfRule type="expression" priority="894" id="{E8C5E544-AB4A-4209-A552-F8B61C27AB21}">
            <xm:f>Postup!$K$21="1"</xm:f>
            <x14:dxf>
              <font>
                <color theme="1"/>
              </font>
              <fill>
                <patternFill>
                  <bgColor theme="0" tint="-0.24994659260841701"/>
                </patternFill>
              </fill>
            </x14:dxf>
          </x14:cfRule>
          <xm:sqref>P80 P82:P94 P97 P102:P103</xm:sqref>
        </x14:conditionalFormatting>
        <x14:conditionalFormatting xmlns:xm="http://schemas.microsoft.com/office/excel/2006/main">
          <x14:cfRule type="expression" priority="4566" id="{19AC10DF-EBFB-4D5E-BDD2-38C7285D38E8}">
            <xm:f>Postup!$J$25&lt;$T$3</xm:f>
            <x14:dxf>
              <font>
                <color theme="1"/>
              </font>
              <fill>
                <patternFill>
                  <bgColor theme="0" tint="-0.24994659260841701"/>
                </patternFill>
              </fill>
            </x14:dxf>
          </x14:cfRule>
          <xm:sqref>P3:Q4 Q5:R5 P6:R14</xm:sqref>
        </x14:conditionalFormatting>
        <x14:conditionalFormatting xmlns:xm="http://schemas.microsoft.com/office/excel/2006/main">
          <x14:cfRule type="expression" priority="546" id="{7565970B-4A92-4244-9F89-4EA8D6B6845D}">
            <xm:f>Postup!$K$21="2"</xm:f>
            <x14:dxf>
              <font>
                <color theme="1"/>
              </font>
              <fill>
                <patternFill>
                  <bgColor theme="0" tint="-0.24994659260841701"/>
                </patternFill>
              </fill>
            </x14:dxf>
          </x14:cfRule>
          <xm:sqref>Q20:Q56</xm:sqref>
        </x14:conditionalFormatting>
        <x14:conditionalFormatting xmlns:xm="http://schemas.microsoft.com/office/excel/2006/main">
          <x14:cfRule type="expression" priority="121" id="{B27CC5CA-AC9C-4722-85BE-9825E388F402}">
            <xm:f>Postup!$K$21="2"</xm:f>
            <x14:dxf>
              <font>
                <color theme="1"/>
              </font>
              <fill>
                <patternFill>
                  <bgColor theme="0" tint="-0.24994659260841701"/>
                </patternFill>
              </fill>
            </x14:dxf>
          </x14:cfRule>
          <xm:sqref>Q66</xm:sqref>
        </x14:conditionalFormatting>
        <x14:conditionalFormatting xmlns:xm="http://schemas.microsoft.com/office/excel/2006/main">
          <x14:cfRule type="expression" priority="116" id="{52942570-209F-41EC-B188-01E8E002D5B5}">
            <xm:f>Postup!$K$21="2"</xm:f>
            <x14:dxf>
              <fill>
                <patternFill>
                  <bgColor theme="0" tint="-0.24994659260841701"/>
                </patternFill>
              </fill>
            </x14:dxf>
          </x14:cfRule>
          <xm:sqref>Q67:Q68 Q74</xm:sqref>
        </x14:conditionalFormatting>
        <x14:conditionalFormatting xmlns:xm="http://schemas.microsoft.com/office/excel/2006/main">
          <x14:cfRule type="expression" priority="119" id="{B062B281-EB49-4860-9273-F38FDF21DAC6}">
            <xm:f>Postup!$K$21="2"</xm:f>
            <x14:dxf>
              <font>
                <color theme="1"/>
              </font>
              <fill>
                <patternFill>
                  <bgColor theme="0" tint="-0.24994659260841701"/>
                </patternFill>
              </fill>
            </x14:dxf>
          </x14:cfRule>
          <xm:sqref>Q73</xm:sqref>
        </x14:conditionalFormatting>
        <x14:conditionalFormatting xmlns:xm="http://schemas.microsoft.com/office/excel/2006/main">
          <x14:cfRule type="expression" priority="945" id="{7EA6A78A-42C7-406C-A7FD-9ECBAA600EB4}">
            <xm:f>Postup!$K$21="2"</xm:f>
            <x14:dxf>
              <font>
                <color theme="1"/>
              </font>
              <fill>
                <patternFill>
                  <bgColor theme="0" tint="-0.24994659260841701"/>
                </patternFill>
              </fill>
            </x14:dxf>
          </x14:cfRule>
          <xm:sqref>Q80:Q94</xm:sqref>
        </x14:conditionalFormatting>
        <x14:conditionalFormatting xmlns:xm="http://schemas.microsoft.com/office/excel/2006/main">
          <x14:cfRule type="expression" priority="873" id="{96BA602A-7557-4A01-9101-F2EE85FFD425}">
            <xm:f>$O$18&gt;Postup!$J$25</xm:f>
            <x14:dxf>
              <font>
                <color theme="1"/>
              </font>
              <fill>
                <patternFill>
                  <bgColor theme="0" tint="-0.24994659260841701"/>
                </patternFill>
              </fill>
            </x14:dxf>
          </x14:cfRule>
          <xm:sqref>Q16:R16</xm:sqref>
        </x14:conditionalFormatting>
        <x14:conditionalFormatting xmlns:xm="http://schemas.microsoft.com/office/excel/2006/main">
          <x14:cfRule type="expression" priority="1224" id="{8C9E5EEC-2E66-4F15-969C-8E6F803BE6F7}">
            <xm:f>Postup!$J$25&lt;$T$3</xm:f>
            <x14:dxf>
              <font>
                <color theme="1"/>
              </font>
              <fill>
                <patternFill>
                  <bgColor theme="0" tint="-0.24994659260841701"/>
                </patternFill>
              </fill>
            </x14:dxf>
          </x14:cfRule>
          <xm:sqref>R3</xm:sqref>
        </x14:conditionalFormatting>
        <x14:conditionalFormatting xmlns:xm="http://schemas.microsoft.com/office/excel/2006/main">
          <x14:cfRule type="expression" priority="547" id="{1FF4E391-D1AA-47D8-B3DC-9C901AD15356}">
            <xm:f>Postup!$K$21="1"</xm:f>
            <x14:dxf>
              <font>
                <color theme="1"/>
              </font>
              <fill>
                <patternFill>
                  <bgColor theme="0" tint="-0.24994659260841701"/>
                </patternFill>
              </fill>
            </x14:dxf>
          </x14:cfRule>
          <xm:sqref>R20:R56</xm:sqref>
        </x14:conditionalFormatting>
        <x14:conditionalFormatting xmlns:xm="http://schemas.microsoft.com/office/excel/2006/main">
          <x14:cfRule type="expression" priority="214" id="{11890467-9A57-4588-9797-E91E69DACE3E}">
            <xm:f>Postup!$K$21="1"</xm:f>
            <x14:dxf>
              <font>
                <color theme="1"/>
              </font>
              <fill>
                <patternFill>
                  <bgColor theme="0" tint="-0.24994659260841701"/>
                </patternFill>
              </fill>
            </x14:dxf>
          </x14:cfRule>
          <xm:sqref>R66</xm:sqref>
        </x14:conditionalFormatting>
        <x14:conditionalFormatting xmlns:xm="http://schemas.microsoft.com/office/excel/2006/main">
          <x14:cfRule type="expression" priority="211" id="{7078C457-F356-4107-A779-D571C9E34CCD}">
            <xm:f>Postup!$K$21="1"</xm:f>
            <x14:dxf>
              <fill>
                <patternFill>
                  <bgColor theme="0" tint="-0.24994659260841701"/>
                </patternFill>
              </fill>
            </x14:dxf>
          </x14:cfRule>
          <xm:sqref>R67:R68</xm:sqref>
        </x14:conditionalFormatting>
        <x14:conditionalFormatting xmlns:xm="http://schemas.microsoft.com/office/excel/2006/main">
          <x14:cfRule type="expression" priority="210" id="{2AD193F1-F8A0-4ABE-A5F5-AF2221DB2B8A}">
            <xm:f>Postup!$K$21="1"</xm:f>
            <x14:dxf>
              <font>
                <color theme="1"/>
              </font>
              <fill>
                <patternFill>
                  <bgColor theme="0" tint="-0.24994659260841701"/>
                </patternFill>
              </fill>
            </x14:dxf>
          </x14:cfRule>
          <xm:sqref>R73</xm:sqref>
        </x14:conditionalFormatting>
        <x14:conditionalFormatting xmlns:xm="http://schemas.microsoft.com/office/excel/2006/main">
          <x14:cfRule type="expression" priority="207" id="{7B226945-FC26-4B40-A851-E49737F99C1E}">
            <xm:f>Postup!$K$21="1"</xm:f>
            <x14:dxf>
              <fill>
                <patternFill>
                  <bgColor theme="0" tint="-0.24994659260841701"/>
                </patternFill>
              </fill>
            </x14:dxf>
          </x14:cfRule>
          <xm:sqref>R74</xm:sqref>
        </x14:conditionalFormatting>
        <x14:conditionalFormatting xmlns:xm="http://schemas.microsoft.com/office/excel/2006/main">
          <x14:cfRule type="expression" priority="948" id="{14D269B7-69F6-4292-9048-77BC4799503E}">
            <xm:f>Postup!$K$21="1"</xm:f>
            <x14:dxf>
              <font>
                <color theme="1"/>
              </font>
              <fill>
                <patternFill>
                  <bgColor theme="0" tint="-0.24994659260841701"/>
                </patternFill>
              </fill>
            </x14:dxf>
          </x14:cfRule>
          <xm:sqref>R82:R94 R80</xm:sqref>
        </x14:conditionalFormatting>
        <x14:conditionalFormatting xmlns:xm="http://schemas.microsoft.com/office/excel/2006/main">
          <x14:cfRule type="expression" priority="954" id="{53CC14E5-8ED1-4817-A7B5-65383AB574AE}">
            <xm:f>Postup!$J$25&lt;$W$3</xm:f>
            <x14:dxf>
              <font>
                <color theme="1"/>
              </font>
              <fill>
                <patternFill>
                  <bgColor theme="0" tint="-0.24994659260841701"/>
                </patternFill>
              </fill>
            </x14:dxf>
          </x14:cfRule>
          <xm:sqref>S3:U14</xm:sqref>
        </x14:conditionalFormatting>
        <x14:conditionalFormatting xmlns:xm="http://schemas.microsoft.com/office/excel/2006/main">
          <x14:cfRule type="expression" priority="321" id="{3820E7B7-73B1-4160-82A3-037B39065DCE}">
            <xm:f>Postup!$K$21="2"</xm:f>
            <x14:dxf>
              <font>
                <color theme="1"/>
              </font>
              <fill>
                <patternFill>
                  <bgColor theme="0" tint="-0.24994659260841701"/>
                </patternFill>
              </fill>
            </x14:dxf>
          </x14:cfRule>
          <xm:sqref>T20:T33</xm:sqref>
        </x14:conditionalFormatting>
        <x14:conditionalFormatting xmlns:xm="http://schemas.microsoft.com/office/excel/2006/main">
          <x14:cfRule type="expression" priority="18" id="{F939F582-C1AA-4936-AC6F-58B923BB6806}">
            <xm:f>Postup!$K$21="2"</xm:f>
            <x14:dxf>
              <font>
                <color auto="1"/>
              </font>
              <fill>
                <patternFill>
                  <bgColor theme="0" tint="-0.24994659260841701"/>
                </patternFill>
              </fill>
            </x14:dxf>
          </x14:cfRule>
          <xm:sqref>T34</xm:sqref>
        </x14:conditionalFormatting>
        <x14:conditionalFormatting xmlns:xm="http://schemas.microsoft.com/office/excel/2006/main">
          <x14:cfRule type="expression" priority="304" id="{0F9A0A63-14FC-4C78-A349-DF872A5BD3DE}">
            <xm:f>Postup!$K$21="2"</xm:f>
            <x14:dxf>
              <font>
                <color theme="1"/>
              </font>
              <fill>
                <patternFill>
                  <bgColor theme="0" tint="-0.24994659260841701"/>
                </patternFill>
              </fill>
            </x14:dxf>
          </x14:cfRule>
          <xm:sqref>T35:T56</xm:sqref>
        </x14:conditionalFormatting>
        <x14:conditionalFormatting xmlns:xm="http://schemas.microsoft.com/office/excel/2006/main">
          <x14:cfRule type="expression" priority="883" id="{B0FDBB6C-BF57-4ADE-AE4B-CBE222758852}">
            <xm:f>Postup!$K$21="2"</xm:f>
            <x14:dxf>
              <font>
                <color theme="1"/>
              </font>
              <fill>
                <patternFill>
                  <bgColor theme="0" tint="-0.24994659260841701"/>
                </patternFill>
              </fill>
            </x14:dxf>
          </x14:cfRule>
          <xm:sqref>T80:T94 T97</xm:sqref>
        </x14:conditionalFormatting>
        <x14:conditionalFormatting xmlns:xm="http://schemas.microsoft.com/office/excel/2006/main">
          <x14:cfRule type="expression" priority="311" id="{5F1CD1FD-71F0-47E4-AAB3-3165BDEDF002}">
            <xm:f>$T$18&gt;Postup!$J$25</xm:f>
            <x14:dxf>
              <font>
                <color theme="1"/>
              </font>
              <fill>
                <patternFill>
                  <bgColor theme="0" tint="-0.24994659260841701"/>
                </patternFill>
              </fill>
            </x14:dxf>
          </x14:cfRule>
          <xm:sqref>T18:U47</xm:sqref>
        </x14:conditionalFormatting>
        <x14:conditionalFormatting xmlns:xm="http://schemas.microsoft.com/office/excel/2006/main">
          <x14:cfRule type="expression" priority="12" id="{AB9B03AA-FA05-4742-918F-D1E29694BDCB}">
            <xm:f>$T$18&gt;Postup!$J$25</xm:f>
            <x14:dxf>
              <fill>
                <patternFill>
                  <bgColor theme="0" tint="-0.24994659260841701"/>
                </patternFill>
              </fill>
            </x14:dxf>
          </x14:cfRule>
          <xm:sqref>T48:U48</xm:sqref>
        </x14:conditionalFormatting>
        <x14:conditionalFormatting xmlns:xm="http://schemas.microsoft.com/office/excel/2006/main">
          <x14:cfRule type="expression" priority="303" id="{FF1B18F1-8F1E-4392-B6A7-17A8FBE46B82}">
            <xm:f>$T$18&gt;Postup!$J$25</xm:f>
            <x14:dxf>
              <font>
                <color theme="1"/>
              </font>
              <fill>
                <patternFill>
                  <bgColor theme="0" tint="-0.24994659260841701"/>
                </patternFill>
              </fill>
            </x14:dxf>
          </x14:cfRule>
          <xm:sqref>T49:U56</xm:sqref>
        </x14:conditionalFormatting>
        <x14:conditionalFormatting xmlns:xm="http://schemas.microsoft.com/office/excel/2006/main">
          <x14:cfRule type="expression" priority="84" id="{FCE1EA85-6511-425F-A6C9-4D85EC184C72}">
            <xm:f>$T$18&gt;Postup!$J$25</xm:f>
            <x14:dxf>
              <font>
                <color auto="1"/>
              </font>
              <fill>
                <patternFill>
                  <bgColor theme="0" tint="-0.24994659260841701"/>
                </patternFill>
              </fill>
            </x14:dxf>
          </x14:cfRule>
          <xm:sqref>T66:U74</xm:sqref>
        </x14:conditionalFormatting>
        <x14:conditionalFormatting xmlns:xm="http://schemas.microsoft.com/office/excel/2006/main">
          <x14:cfRule type="expression" priority="583" id="{39C90E6B-F875-46D1-A0F8-FFAFB9C0A4A2}">
            <xm:f>$O$18&gt;Postup!$J$25</xm:f>
            <x14:dxf>
              <font>
                <color theme="1"/>
              </font>
              <fill>
                <patternFill>
                  <bgColor theme="0" tint="-0.24994659260841701"/>
                </patternFill>
              </fill>
            </x14:dxf>
          </x14:cfRule>
          <xm:sqref>T79:U79</xm:sqref>
        </x14:conditionalFormatting>
        <x14:conditionalFormatting xmlns:xm="http://schemas.microsoft.com/office/excel/2006/main">
          <x14:cfRule type="expression" priority="872" id="{47A03431-37AD-42ED-BF2A-4610584AC8C0}">
            <xm:f>$T$18&gt;Postup!$J$25</xm:f>
            <x14:dxf>
              <font>
                <color theme="1"/>
              </font>
              <fill>
                <patternFill>
                  <bgColor theme="0" tint="-0.24994659260841701"/>
                </patternFill>
              </fill>
            </x14:dxf>
          </x14:cfRule>
          <xm:sqref>T82:U94 V16:W16 T80:U80 T81 T97:U97</xm:sqref>
        </x14:conditionalFormatting>
        <x14:conditionalFormatting xmlns:xm="http://schemas.microsoft.com/office/excel/2006/main">
          <x14:cfRule type="expression" priority="539" id="{A898D4B2-6DFF-47CA-A6E9-7A40BB811DCA}">
            <xm:f>AND(DAY(Postup!$H$24)=1,MONTH(Postup!$H$24)=1)</xm:f>
            <x14:dxf>
              <font>
                <color theme="1"/>
              </font>
              <fill>
                <patternFill>
                  <bgColor theme="0" tint="-0.24994659260841701"/>
                </patternFill>
              </fill>
            </x14:dxf>
          </x14:cfRule>
          <xm:sqref>T48:W48</xm:sqref>
        </x14:conditionalFormatting>
        <x14:conditionalFormatting xmlns:xm="http://schemas.microsoft.com/office/excel/2006/main">
          <x14:cfRule type="expression" priority="307" id="{B3F39153-B0C7-4ED6-8320-9FD25C0565B6}">
            <xm:f>Postup!$K$21="1"</xm:f>
            <x14:dxf>
              <font>
                <color theme="1"/>
              </font>
              <fill>
                <patternFill>
                  <bgColor theme="0" tint="-0.24994659260841701"/>
                </patternFill>
              </fill>
            </x14:dxf>
          </x14:cfRule>
          <xm:sqref>U20:U56</xm:sqref>
        </x14:conditionalFormatting>
        <x14:conditionalFormatting xmlns:xm="http://schemas.microsoft.com/office/excel/2006/main">
          <x14:cfRule type="expression" priority="893" id="{FED5A1C8-303F-47E8-82CE-624C1F8AAB11}">
            <xm:f>Postup!$K$21="1"</xm:f>
            <x14:dxf>
              <font>
                <color theme="1"/>
              </font>
              <fill>
                <patternFill>
                  <bgColor theme="0" tint="-0.24994659260841701"/>
                </patternFill>
              </fill>
            </x14:dxf>
          </x14:cfRule>
          <xm:sqref>U82:U94 U80 U97</xm:sqref>
        </x14:conditionalFormatting>
        <x14:conditionalFormatting xmlns:xm="http://schemas.microsoft.com/office/excel/2006/main">
          <x14:cfRule type="expression" priority="540" id="{8F3CFB7E-C5F0-47CB-A316-BB48160C611E}">
            <xm:f>Postup!$K$21="2"</xm:f>
            <x14:dxf>
              <font>
                <color theme="1"/>
              </font>
              <fill>
                <patternFill>
                  <bgColor theme="0" tint="-0.24994659260841701"/>
                </patternFill>
              </fill>
            </x14:dxf>
          </x14:cfRule>
          <xm:sqref>V20:V56</xm:sqref>
        </x14:conditionalFormatting>
        <x14:conditionalFormatting xmlns:xm="http://schemas.microsoft.com/office/excel/2006/main">
          <x14:cfRule type="expression" priority="137" id="{181CCB1C-7279-4C36-8389-B84C186E721F}">
            <xm:f>Postup!$K$21="2"</xm:f>
            <x14:dxf>
              <font>
                <color theme="1"/>
              </font>
              <fill>
                <patternFill>
                  <bgColor theme="0" tint="-0.24994659260841701"/>
                </patternFill>
              </fill>
            </x14:dxf>
          </x14:cfRule>
          <xm:sqref>V66</xm:sqref>
        </x14:conditionalFormatting>
        <x14:conditionalFormatting xmlns:xm="http://schemas.microsoft.com/office/excel/2006/main">
          <x14:cfRule type="expression" priority="132" id="{A69D1FA1-D7D1-4DD5-9AEC-9A9A0B0FB544}">
            <xm:f>Postup!$K$21="2"</xm:f>
            <x14:dxf>
              <fill>
                <patternFill>
                  <bgColor theme="0" tint="-0.24994659260841701"/>
                </patternFill>
              </fill>
            </x14:dxf>
          </x14:cfRule>
          <xm:sqref>V67:V68 V74</xm:sqref>
        </x14:conditionalFormatting>
        <x14:conditionalFormatting xmlns:xm="http://schemas.microsoft.com/office/excel/2006/main">
          <x14:cfRule type="expression" priority="135" id="{C2B8D1EA-0D9B-4E16-9273-ECE94AA774A1}">
            <xm:f>Postup!$K$21="2"</xm:f>
            <x14:dxf>
              <font>
                <color theme="1"/>
              </font>
              <fill>
                <patternFill>
                  <bgColor theme="0" tint="-0.24994659260841701"/>
                </patternFill>
              </fill>
            </x14:dxf>
          </x14:cfRule>
          <xm:sqref>V73</xm:sqref>
        </x14:conditionalFormatting>
        <x14:conditionalFormatting xmlns:xm="http://schemas.microsoft.com/office/excel/2006/main">
          <x14:cfRule type="expression" priority="944" id="{9A732861-E689-4713-990F-8E7E4738B54A}">
            <xm:f>Postup!$K$21="2"</xm:f>
            <x14:dxf>
              <font>
                <color theme="1"/>
              </font>
              <fill>
                <patternFill>
                  <bgColor theme="0" tint="-0.24994659260841701"/>
                </patternFill>
              </fill>
            </x14:dxf>
          </x14:cfRule>
          <xm:sqref>V80:V94</xm:sqref>
        </x14:conditionalFormatting>
        <x14:conditionalFormatting xmlns:xm="http://schemas.microsoft.com/office/excel/2006/main">
          <x14:cfRule type="expression" priority="953" id="{C65BE448-C435-4790-96C3-A1456D1935F1}">
            <xm:f>Postup!$J$25&lt;$Z$3</xm:f>
            <x14:dxf>
              <font>
                <color theme="1"/>
              </font>
              <fill>
                <patternFill>
                  <bgColor theme="0" tint="-0.24994659260841701"/>
                </patternFill>
              </fill>
            </x14:dxf>
          </x14:cfRule>
          <xm:sqref>V3:X14</xm:sqref>
        </x14:conditionalFormatting>
        <x14:conditionalFormatting xmlns:xm="http://schemas.microsoft.com/office/excel/2006/main">
          <x14:cfRule type="expression" priority="541" id="{8AF54D6B-0D2C-45D3-9046-1626245842CF}">
            <xm:f>Postup!$K$21="1"</xm:f>
            <x14:dxf>
              <font>
                <color theme="1"/>
              </font>
              <fill>
                <patternFill>
                  <bgColor theme="0" tint="-0.24994659260841701"/>
                </patternFill>
              </fill>
            </x14:dxf>
          </x14:cfRule>
          <xm:sqref>W20:W56</xm:sqref>
        </x14:conditionalFormatting>
        <x14:conditionalFormatting xmlns:xm="http://schemas.microsoft.com/office/excel/2006/main">
          <x14:cfRule type="expression" priority="222" id="{8A2EC020-AC4D-40A5-BF5B-49B1C9914641}">
            <xm:f>Postup!$K$21="1"</xm:f>
            <x14:dxf>
              <font>
                <color theme="1"/>
              </font>
              <fill>
                <patternFill>
                  <bgColor theme="0" tint="-0.24994659260841701"/>
                </patternFill>
              </fill>
            </x14:dxf>
          </x14:cfRule>
          <xm:sqref>W66</xm:sqref>
        </x14:conditionalFormatting>
        <x14:conditionalFormatting xmlns:xm="http://schemas.microsoft.com/office/excel/2006/main">
          <x14:cfRule type="expression" priority="219" id="{3C41EDF2-6DF8-4ED4-9B5E-D80EA2556AD4}">
            <xm:f>Postup!$K$21="1"</xm:f>
            <x14:dxf>
              <fill>
                <patternFill>
                  <bgColor theme="0" tint="-0.24994659260841701"/>
                </patternFill>
              </fill>
            </x14:dxf>
          </x14:cfRule>
          <xm:sqref>W67:W68</xm:sqref>
        </x14:conditionalFormatting>
        <x14:conditionalFormatting xmlns:xm="http://schemas.microsoft.com/office/excel/2006/main">
          <x14:cfRule type="expression" priority="218" id="{28203508-D49F-4FF6-8BE7-DB912E1F4905}">
            <xm:f>Postup!$K$21="1"</xm:f>
            <x14:dxf>
              <font>
                <color theme="1"/>
              </font>
              <fill>
                <patternFill>
                  <bgColor theme="0" tint="-0.24994659260841701"/>
                </patternFill>
              </fill>
            </x14:dxf>
          </x14:cfRule>
          <xm:sqref>W73</xm:sqref>
        </x14:conditionalFormatting>
        <x14:conditionalFormatting xmlns:xm="http://schemas.microsoft.com/office/excel/2006/main">
          <x14:cfRule type="expression" priority="215" id="{FAD53B3E-8581-4B7D-AA93-29404E83217D}">
            <xm:f>Postup!$K$21="1"</xm:f>
            <x14:dxf>
              <fill>
                <patternFill>
                  <bgColor theme="0" tint="-0.24994659260841701"/>
                </patternFill>
              </fill>
            </x14:dxf>
          </x14:cfRule>
          <xm:sqref>W74</xm:sqref>
        </x14:conditionalFormatting>
        <x14:conditionalFormatting xmlns:xm="http://schemas.microsoft.com/office/excel/2006/main">
          <x14:cfRule type="expression" priority="1012" id="{52145187-5411-4E8C-B996-C40936BC4CBA}">
            <xm:f>Postup!$K$21="1"</xm:f>
            <x14:dxf>
              <font>
                <color theme="1"/>
              </font>
              <fill>
                <patternFill>
                  <bgColor theme="0" tint="-0.24994659260841701"/>
                </patternFill>
              </fill>
            </x14:dxf>
          </x14:cfRule>
          <xm:sqref>W82:W94 W80</xm:sqref>
        </x14:conditionalFormatting>
        <x14:conditionalFormatting xmlns:xm="http://schemas.microsoft.com/office/excel/2006/main">
          <x14:cfRule type="expression" priority="345" id="{03E2AB03-282F-473E-AFF2-05AF30E08AE3}">
            <xm:f>Postup!$K$21="2"</xm:f>
            <x14:dxf>
              <font>
                <color theme="1"/>
              </font>
              <fill>
                <patternFill>
                  <bgColor theme="0" tint="-0.24994659260841701"/>
                </patternFill>
              </fill>
            </x14:dxf>
          </x14:cfRule>
          <xm:sqref>Y20:Y33</xm:sqref>
        </x14:conditionalFormatting>
        <x14:conditionalFormatting xmlns:xm="http://schemas.microsoft.com/office/excel/2006/main">
          <x14:cfRule type="expression" priority="17" id="{E749255C-B4F1-4D29-A3DE-85AB48C13A92}">
            <xm:f>Postup!$K$21="2"</xm:f>
            <x14:dxf>
              <font>
                <color auto="1"/>
              </font>
              <fill>
                <patternFill>
                  <bgColor theme="0" tint="-0.24994659260841701"/>
                </patternFill>
              </fill>
            </x14:dxf>
          </x14:cfRule>
          <xm:sqref>Y34</xm:sqref>
        </x14:conditionalFormatting>
        <x14:conditionalFormatting xmlns:xm="http://schemas.microsoft.com/office/excel/2006/main">
          <x14:cfRule type="expression" priority="328" id="{ADABCBBB-FB64-4405-805C-44CF2AAC6991}">
            <xm:f>Postup!$K$21="2"</xm:f>
            <x14:dxf>
              <font>
                <color theme="1"/>
              </font>
              <fill>
                <patternFill>
                  <bgColor theme="0" tint="-0.24994659260841701"/>
                </patternFill>
              </fill>
            </x14:dxf>
          </x14:cfRule>
          <xm:sqref>Y35:Y56</xm:sqref>
        </x14:conditionalFormatting>
        <x14:conditionalFormatting xmlns:xm="http://schemas.microsoft.com/office/excel/2006/main">
          <x14:cfRule type="expression" priority="892" id="{AC4A503E-01F6-4B36-A0BF-12807A40CD89}">
            <xm:f>Postup!$K$21="2"</xm:f>
            <x14:dxf>
              <font>
                <color theme="1"/>
              </font>
              <fill>
                <patternFill>
                  <bgColor theme="0" tint="-0.24994659260841701"/>
                </patternFill>
              </fill>
            </x14:dxf>
          </x14:cfRule>
          <xm:sqref>Y80:Y94 Y97</xm:sqref>
        </x14:conditionalFormatting>
        <x14:conditionalFormatting xmlns:xm="http://schemas.microsoft.com/office/excel/2006/main">
          <x14:cfRule type="expression" priority="335" id="{34F9E825-8676-413C-8A6E-05E8727F4E72}">
            <xm:f>$Y$18&gt;Postup!$J$25</xm:f>
            <x14:dxf>
              <font>
                <color theme="1"/>
              </font>
              <fill>
                <patternFill>
                  <bgColor theme="0" tint="-0.24994659260841701"/>
                </patternFill>
              </fill>
            </x14:dxf>
          </x14:cfRule>
          <xm:sqref>Y18:Z47</xm:sqref>
        </x14:conditionalFormatting>
        <x14:conditionalFormatting xmlns:xm="http://schemas.microsoft.com/office/excel/2006/main">
          <x14:cfRule type="expression" priority="10" id="{1A46297F-B97D-41E6-B97D-DE2F5F4D295E}">
            <xm:f>$Y$18&gt;Postup!$J$25</xm:f>
            <x14:dxf>
              <fill>
                <patternFill>
                  <bgColor theme="0" tint="-0.24994659260841701"/>
                </patternFill>
              </fill>
            </x14:dxf>
          </x14:cfRule>
          <xm:sqref>Y48:Z48</xm:sqref>
        </x14:conditionalFormatting>
        <x14:conditionalFormatting xmlns:xm="http://schemas.microsoft.com/office/excel/2006/main">
          <x14:cfRule type="expression" priority="327" id="{E827A054-5AFB-463E-944E-35C2711AD670}">
            <xm:f>$Y$18&gt;Postup!$J$25</xm:f>
            <x14:dxf>
              <font>
                <color theme="1"/>
              </font>
              <fill>
                <patternFill>
                  <bgColor theme="0" tint="-0.24994659260841701"/>
                </patternFill>
              </fill>
            </x14:dxf>
          </x14:cfRule>
          <xm:sqref>Y49:Z56</xm:sqref>
        </x14:conditionalFormatting>
        <x14:conditionalFormatting xmlns:xm="http://schemas.microsoft.com/office/excel/2006/main">
          <x14:cfRule type="expression" priority="85" id="{4A1A03BC-49FB-473B-9CDD-5927171DE6CD}">
            <xm:f>$Y$18&gt;Postup!$J$25</xm:f>
            <x14:dxf>
              <font>
                <color auto="1"/>
              </font>
              <fill>
                <patternFill>
                  <bgColor theme="0" tint="-0.24994659260841701"/>
                </patternFill>
              </fill>
            </x14:dxf>
          </x14:cfRule>
          <xm:sqref>Y66:Z74</xm:sqref>
        </x14:conditionalFormatting>
        <x14:conditionalFormatting xmlns:xm="http://schemas.microsoft.com/office/excel/2006/main">
          <x14:cfRule type="expression" priority="582" id="{966042C2-1E42-48D9-9243-1BDC93E95CD3}">
            <xm:f>$O$18&gt;Postup!$J$25</xm:f>
            <x14:dxf>
              <font>
                <color theme="1"/>
              </font>
              <fill>
                <patternFill>
                  <bgColor theme="0" tint="-0.24994659260841701"/>
                </patternFill>
              </fill>
            </x14:dxf>
          </x14:cfRule>
          <xm:sqref>Y79:Z79</xm:sqref>
        </x14:conditionalFormatting>
        <x14:conditionalFormatting xmlns:xm="http://schemas.microsoft.com/office/excel/2006/main">
          <x14:cfRule type="expression" priority="871" id="{48478416-B3A9-4703-B340-979FAB532006}">
            <xm:f>$Y$18&gt;Postup!$J$25</xm:f>
            <x14:dxf>
              <font>
                <color theme="1"/>
              </font>
              <fill>
                <patternFill>
                  <bgColor theme="0" tint="-0.24994659260841701"/>
                </patternFill>
              </fill>
            </x14:dxf>
          </x14:cfRule>
          <xm:sqref>Y82:Z94 AA16:AB16 Y80:Z80 Y81 Y97:Z97</xm:sqref>
        </x14:conditionalFormatting>
        <x14:conditionalFormatting xmlns:xm="http://schemas.microsoft.com/office/excel/2006/main">
          <x14:cfRule type="expression" priority="952" id="{2C210A20-ED12-49BF-8BF3-DCC1811B9D3E}">
            <xm:f>Postup!$J$25&lt;$AC$3</xm:f>
            <x14:dxf>
              <font>
                <color theme="1"/>
              </font>
              <fill>
                <patternFill>
                  <bgColor theme="0" tint="-0.24994659260841701"/>
                </patternFill>
              </fill>
            </x14:dxf>
          </x14:cfRule>
          <xm:sqref>Y3:AA14</xm:sqref>
        </x14:conditionalFormatting>
        <x14:conditionalFormatting xmlns:xm="http://schemas.microsoft.com/office/excel/2006/main">
          <x14:cfRule type="expression" priority="533" id="{9DB6FAC8-A690-4A55-A82F-D72563182ADB}">
            <xm:f>AND(DAY(Postup!$H$24)=1,MONTH(Postup!$H$24)=1)</xm:f>
            <x14:dxf>
              <font>
                <color theme="1"/>
              </font>
              <fill>
                <patternFill>
                  <bgColor theme="0" tint="-0.24994659260841701"/>
                </patternFill>
              </fill>
            </x14:dxf>
          </x14:cfRule>
          <xm:sqref>Y48:AB48</xm:sqref>
        </x14:conditionalFormatting>
        <x14:conditionalFormatting xmlns:xm="http://schemas.microsoft.com/office/excel/2006/main">
          <x14:cfRule type="expression" priority="331" id="{82D35F86-BBC2-4648-8988-04C10BBF4EF8}">
            <xm:f>Postup!$K$21="1"</xm:f>
            <x14:dxf>
              <font>
                <color theme="1"/>
              </font>
              <fill>
                <patternFill>
                  <bgColor theme="0" tint="-0.24994659260841701"/>
                </patternFill>
              </fill>
            </x14:dxf>
          </x14:cfRule>
          <xm:sqref>Z20:Z56</xm:sqref>
        </x14:conditionalFormatting>
        <x14:conditionalFormatting xmlns:xm="http://schemas.microsoft.com/office/excel/2006/main">
          <x14:cfRule type="expression" priority="882" id="{DC80460D-59A1-4B52-B024-591768F920C7}">
            <xm:f>Postup!$K$21="1"</xm:f>
            <x14:dxf>
              <font>
                <color theme="1"/>
              </font>
              <fill>
                <patternFill>
                  <bgColor theme="0" tint="-0.24994659260841701"/>
                </patternFill>
              </fill>
            </x14:dxf>
          </x14:cfRule>
          <xm:sqref>Z82:Z94 Z80 Z97</xm:sqref>
        </x14:conditionalFormatting>
        <x14:conditionalFormatting xmlns:xm="http://schemas.microsoft.com/office/excel/2006/main">
          <x14:cfRule type="expression" priority="534" id="{957E740E-C371-466D-BD1C-837AF5CDF225}">
            <xm:f>Postup!$K$21="2"</xm:f>
            <x14:dxf>
              <font>
                <color theme="1"/>
              </font>
              <fill>
                <patternFill>
                  <bgColor theme="0" tint="-0.24994659260841701"/>
                </patternFill>
              </fill>
            </x14:dxf>
          </x14:cfRule>
          <xm:sqref>AA20:AA56</xm:sqref>
        </x14:conditionalFormatting>
        <x14:conditionalFormatting xmlns:xm="http://schemas.microsoft.com/office/excel/2006/main">
          <x14:cfRule type="expression" priority="151" id="{38696EAA-C7CE-41F1-8CDD-8C817770933D}">
            <xm:f>Postup!$K$21="2"</xm:f>
            <x14:dxf>
              <font>
                <color theme="1"/>
              </font>
              <fill>
                <patternFill>
                  <bgColor theme="0" tint="-0.24994659260841701"/>
                </patternFill>
              </fill>
            </x14:dxf>
          </x14:cfRule>
          <xm:sqref>AA66</xm:sqref>
        </x14:conditionalFormatting>
        <x14:conditionalFormatting xmlns:xm="http://schemas.microsoft.com/office/excel/2006/main">
          <x14:cfRule type="expression" priority="146" id="{97930E72-09FA-4ADA-9AB4-D7F4D6BB82D7}">
            <xm:f>Postup!$K$21="2"</xm:f>
            <x14:dxf>
              <fill>
                <patternFill>
                  <bgColor theme="0" tint="-0.24994659260841701"/>
                </patternFill>
              </fill>
            </x14:dxf>
          </x14:cfRule>
          <xm:sqref>AA67:AA68 AA74</xm:sqref>
        </x14:conditionalFormatting>
        <x14:conditionalFormatting xmlns:xm="http://schemas.microsoft.com/office/excel/2006/main">
          <x14:cfRule type="expression" priority="149" id="{C9C26B01-2092-4549-9B0D-E75430D80A97}">
            <xm:f>Postup!$K$21="2"</xm:f>
            <x14:dxf>
              <font>
                <color theme="1"/>
              </font>
              <fill>
                <patternFill>
                  <bgColor theme="0" tint="-0.24994659260841701"/>
                </patternFill>
              </fill>
            </x14:dxf>
          </x14:cfRule>
          <xm:sqref>AA73</xm:sqref>
        </x14:conditionalFormatting>
        <x14:conditionalFormatting xmlns:xm="http://schemas.microsoft.com/office/excel/2006/main">
          <x14:cfRule type="expression" priority="943" id="{DF42DDDE-D9D7-410F-8A1C-A5C0E7D1757E}">
            <xm:f>Postup!$K$21="2"</xm:f>
            <x14:dxf>
              <font>
                <color theme="1"/>
              </font>
              <fill>
                <patternFill>
                  <bgColor theme="0" tint="-0.24994659260841701"/>
                </patternFill>
              </fill>
            </x14:dxf>
          </x14:cfRule>
          <xm:sqref>AA80:AA94</xm:sqref>
        </x14:conditionalFormatting>
        <x14:conditionalFormatting xmlns:xm="http://schemas.microsoft.com/office/excel/2006/main">
          <x14:cfRule type="expression" priority="535" id="{8B1A022E-84E4-4766-9FB4-63B09FE89573}">
            <xm:f>Postup!$K$21="1"</xm:f>
            <x14:dxf>
              <font>
                <color theme="1"/>
              </font>
              <fill>
                <patternFill>
                  <bgColor theme="0" tint="-0.24994659260841701"/>
                </patternFill>
              </fill>
            </x14:dxf>
          </x14:cfRule>
          <xm:sqref>AB20:AB56</xm:sqref>
        </x14:conditionalFormatting>
        <x14:conditionalFormatting xmlns:xm="http://schemas.microsoft.com/office/excel/2006/main">
          <x14:cfRule type="expression" priority="230" id="{D57015B0-A991-443C-8AA8-49234BE57B8E}">
            <xm:f>Postup!$K$21="1"</xm:f>
            <x14:dxf>
              <font>
                <color theme="1"/>
              </font>
              <fill>
                <patternFill>
                  <bgColor theme="0" tint="-0.24994659260841701"/>
                </patternFill>
              </fill>
            </x14:dxf>
          </x14:cfRule>
          <xm:sqref>AB66</xm:sqref>
        </x14:conditionalFormatting>
        <x14:conditionalFormatting xmlns:xm="http://schemas.microsoft.com/office/excel/2006/main">
          <x14:cfRule type="expression" priority="227" id="{6405504F-45BF-4727-86C7-2529FA9795FC}">
            <xm:f>Postup!$K$21="1"</xm:f>
            <x14:dxf>
              <fill>
                <patternFill>
                  <bgColor theme="0" tint="-0.24994659260841701"/>
                </patternFill>
              </fill>
            </x14:dxf>
          </x14:cfRule>
          <xm:sqref>AB67:AB68</xm:sqref>
        </x14:conditionalFormatting>
        <x14:conditionalFormatting xmlns:xm="http://schemas.microsoft.com/office/excel/2006/main">
          <x14:cfRule type="expression" priority="226" id="{FA004D14-997F-4008-9B41-98B4AA74D4FD}">
            <xm:f>Postup!$K$21="1"</xm:f>
            <x14:dxf>
              <font>
                <color theme="1"/>
              </font>
              <fill>
                <patternFill>
                  <bgColor theme="0" tint="-0.24994659260841701"/>
                </patternFill>
              </fill>
            </x14:dxf>
          </x14:cfRule>
          <xm:sqref>AB73</xm:sqref>
        </x14:conditionalFormatting>
        <x14:conditionalFormatting xmlns:xm="http://schemas.microsoft.com/office/excel/2006/main">
          <x14:cfRule type="expression" priority="223" id="{CEC4E182-9F92-4D58-9CB4-C5AEF314F57C}">
            <xm:f>Postup!$K$21="1"</xm:f>
            <x14:dxf>
              <fill>
                <patternFill>
                  <bgColor theme="0" tint="-0.24994659260841701"/>
                </patternFill>
              </fill>
            </x14:dxf>
          </x14:cfRule>
          <xm:sqref>AB74</xm:sqref>
        </x14:conditionalFormatting>
        <x14:conditionalFormatting xmlns:xm="http://schemas.microsoft.com/office/excel/2006/main">
          <x14:cfRule type="expression" priority="1008" id="{8D5CF207-62BA-44C0-8D8F-16E8E7E45178}">
            <xm:f>Postup!$K$21="1"</xm:f>
            <x14:dxf>
              <font>
                <color theme="1"/>
              </font>
              <fill>
                <patternFill>
                  <bgColor theme="0" tint="-0.24994659260841701"/>
                </patternFill>
              </fill>
            </x14:dxf>
          </x14:cfRule>
          <xm:sqref>AB82:AB94 AB80</xm:sqref>
        </x14:conditionalFormatting>
        <x14:conditionalFormatting xmlns:xm="http://schemas.microsoft.com/office/excel/2006/main">
          <x14:cfRule type="expression" priority="951" id="{6BC60FDB-8811-40F7-A5B1-1E44170E6268}">
            <xm:f>Postup!$J$25&lt;$AF$3</xm:f>
            <x14:dxf>
              <font>
                <color theme="1"/>
              </font>
              <fill>
                <patternFill>
                  <bgColor theme="0" tint="-0.24994659260841701"/>
                </patternFill>
              </fill>
            </x14:dxf>
          </x14:cfRule>
          <xm:sqref>AB3:AD14</xm:sqref>
        </x14:conditionalFormatting>
        <x14:conditionalFormatting xmlns:xm="http://schemas.microsoft.com/office/excel/2006/main">
          <x14:cfRule type="expression" priority="372" id="{3774633F-4E61-40F2-B62F-F0833D18FAB8}">
            <xm:f>Postup!$K$21="2"</xm:f>
            <x14:dxf>
              <font>
                <color theme="1"/>
              </font>
              <fill>
                <patternFill>
                  <bgColor theme="0" tint="-0.24994659260841701"/>
                </patternFill>
              </fill>
            </x14:dxf>
          </x14:cfRule>
          <xm:sqref>AD20:AD33</xm:sqref>
        </x14:conditionalFormatting>
        <x14:conditionalFormatting xmlns:xm="http://schemas.microsoft.com/office/excel/2006/main">
          <x14:cfRule type="expression" priority="16" id="{E437D09E-5070-4A5B-A59E-4B83895296CC}">
            <xm:f>Postup!$K$21="2"</xm:f>
            <x14:dxf>
              <font>
                <color auto="1"/>
              </font>
              <fill>
                <patternFill>
                  <bgColor theme="0" tint="-0.24994659260841701"/>
                </patternFill>
              </fill>
            </x14:dxf>
          </x14:cfRule>
          <xm:sqref>AD34</xm:sqref>
        </x14:conditionalFormatting>
        <x14:conditionalFormatting xmlns:xm="http://schemas.microsoft.com/office/excel/2006/main">
          <x14:cfRule type="expression" priority="352" id="{5A3EDC11-CD3C-4DCB-9538-FB357E9541E4}">
            <xm:f>Postup!$K$21="2"</xm:f>
            <x14:dxf>
              <font>
                <color theme="1"/>
              </font>
              <fill>
                <patternFill>
                  <bgColor theme="0" tint="-0.24994659260841701"/>
                </patternFill>
              </fill>
            </x14:dxf>
          </x14:cfRule>
          <xm:sqref>AD35:AD56</xm:sqref>
        </x14:conditionalFormatting>
        <x14:conditionalFormatting xmlns:xm="http://schemas.microsoft.com/office/excel/2006/main">
          <x14:cfRule type="expression" priority="891" id="{3BFF44C5-D14A-44AF-B83C-BEBBD13DC1C6}">
            <xm:f>Postup!$K$21="2"</xm:f>
            <x14:dxf>
              <font>
                <color theme="1"/>
              </font>
              <fill>
                <patternFill>
                  <bgColor theme="0" tint="-0.24994659260841701"/>
                </patternFill>
              </fill>
            </x14:dxf>
          </x14:cfRule>
          <xm:sqref>AD80:AD94 AD97</xm:sqref>
        </x14:conditionalFormatting>
        <x14:conditionalFormatting xmlns:xm="http://schemas.microsoft.com/office/excel/2006/main">
          <x14:cfRule type="expression" priority="359" id="{8A2EE787-DB3C-4925-B835-1F1BA89C1265}">
            <xm:f>$AD$18&gt;Postup!$J$25</xm:f>
            <x14:dxf>
              <font>
                <color theme="1"/>
              </font>
              <fill>
                <patternFill>
                  <bgColor theme="0" tint="-0.24994659260841701"/>
                </patternFill>
              </fill>
            </x14:dxf>
          </x14:cfRule>
          <xm:sqref>AD18:AE47</xm:sqref>
        </x14:conditionalFormatting>
        <x14:conditionalFormatting xmlns:xm="http://schemas.microsoft.com/office/excel/2006/main">
          <x14:cfRule type="expression" priority="8" id="{20EDC2C6-95FA-43A0-AF9E-2736CAF7FA0D}">
            <xm:f>$AD$18&gt;Postup!$J$25</xm:f>
            <x14:dxf>
              <fill>
                <patternFill>
                  <bgColor theme="0" tint="-0.24994659260841701"/>
                </patternFill>
              </fill>
            </x14:dxf>
          </x14:cfRule>
          <xm:sqref>AD48:AE48</xm:sqref>
        </x14:conditionalFormatting>
        <x14:conditionalFormatting xmlns:xm="http://schemas.microsoft.com/office/excel/2006/main">
          <x14:cfRule type="expression" priority="351" id="{1FB23A34-1A84-4E8F-87D9-822C8A31964E}">
            <xm:f>$AD$18&gt;Postup!$J$25</xm:f>
            <x14:dxf>
              <font>
                <color theme="1"/>
              </font>
              <fill>
                <patternFill>
                  <bgColor theme="0" tint="-0.24994659260841701"/>
                </patternFill>
              </fill>
            </x14:dxf>
          </x14:cfRule>
          <xm:sqref>AD49:AE56</xm:sqref>
        </x14:conditionalFormatting>
        <x14:conditionalFormatting xmlns:xm="http://schemas.microsoft.com/office/excel/2006/main">
          <x14:cfRule type="expression" priority="86" id="{35078D66-F0A7-4A7A-B29C-F808EA548DD7}">
            <xm:f>$AD$18&gt;Postup!$J$25</xm:f>
            <x14:dxf>
              <font>
                <color auto="1"/>
              </font>
              <fill>
                <patternFill>
                  <bgColor theme="0" tint="-0.24994659260841701"/>
                </patternFill>
              </fill>
            </x14:dxf>
          </x14:cfRule>
          <xm:sqref>AD66:AE74</xm:sqref>
        </x14:conditionalFormatting>
        <x14:conditionalFormatting xmlns:xm="http://schemas.microsoft.com/office/excel/2006/main">
          <x14:cfRule type="expression" priority="581" id="{F497D8C2-D953-447E-96DC-26E1C1F5BCB1}">
            <xm:f>$O$18&gt;Postup!$J$25</xm:f>
            <x14:dxf>
              <font>
                <color theme="1"/>
              </font>
              <fill>
                <patternFill>
                  <bgColor theme="0" tint="-0.24994659260841701"/>
                </patternFill>
              </fill>
            </x14:dxf>
          </x14:cfRule>
          <xm:sqref>AD79:AE79</xm:sqref>
        </x14:conditionalFormatting>
        <x14:conditionalFormatting xmlns:xm="http://schemas.microsoft.com/office/excel/2006/main">
          <x14:cfRule type="expression" priority="3121" id="{ACF4484D-91DA-491D-811A-4B4C8E390D23}">
            <xm:f>$AD$18&gt;Postup!$J$25</xm:f>
            <x14:dxf>
              <font>
                <color theme="1"/>
              </font>
              <fill>
                <patternFill>
                  <bgColor theme="0" tint="-0.24994659260841701"/>
                </patternFill>
              </fill>
            </x14:dxf>
          </x14:cfRule>
          <xm:sqref>AD82:AE94 AD80:AE80 AD81 AD97:AE97</xm:sqref>
        </x14:conditionalFormatting>
        <x14:conditionalFormatting xmlns:xm="http://schemas.microsoft.com/office/excel/2006/main">
          <x14:cfRule type="expression" priority="527" id="{7C36FF36-07AE-4904-B0D3-1DCB8487A0EA}">
            <xm:f>AND(DAY(Postup!$H$24)=1,MONTH(Postup!$H$24)=1)</xm:f>
            <x14:dxf>
              <font>
                <color theme="1"/>
              </font>
              <fill>
                <patternFill>
                  <bgColor theme="0" tint="-0.24994659260841701"/>
                </patternFill>
              </fill>
            </x14:dxf>
          </x14:cfRule>
          <xm:sqref>AD48:AG48</xm:sqref>
        </x14:conditionalFormatting>
        <x14:conditionalFormatting xmlns:xm="http://schemas.microsoft.com/office/excel/2006/main">
          <x14:cfRule type="expression" priority="355" id="{BAE12877-70AD-41F7-A9A5-666FDC7D29BE}">
            <xm:f>Postup!$K$21="1"</xm:f>
            <x14:dxf>
              <font>
                <color theme="1"/>
              </font>
              <fill>
                <patternFill>
                  <bgColor theme="0" tint="-0.24994659260841701"/>
                </patternFill>
              </fill>
            </x14:dxf>
          </x14:cfRule>
          <xm:sqref>AE20:AE56</xm:sqref>
        </x14:conditionalFormatting>
        <x14:conditionalFormatting xmlns:xm="http://schemas.microsoft.com/office/excel/2006/main">
          <x14:cfRule type="expression" priority="881" id="{4AEFB6BD-3A92-4D5A-884E-6F0D75C28170}">
            <xm:f>Postup!$K$21="1"</xm:f>
            <x14:dxf>
              <font>
                <color theme="1"/>
              </font>
              <fill>
                <patternFill>
                  <bgColor theme="0" tint="-0.24994659260841701"/>
                </patternFill>
              </fill>
            </x14:dxf>
          </x14:cfRule>
          <xm:sqref>AE82:AE94 AE80 AE97</xm:sqref>
        </x14:conditionalFormatting>
        <x14:conditionalFormatting xmlns:xm="http://schemas.microsoft.com/office/excel/2006/main">
          <x14:cfRule type="expression" priority="950" id="{EB230D8F-A34A-4179-A5A4-E70AAAC7EFC3}">
            <xm:f>Postup!$J$25&lt;$AF$3+1</xm:f>
            <x14:dxf>
              <font>
                <color theme="1"/>
              </font>
              <fill>
                <patternFill>
                  <bgColor theme="0" tint="-0.24994659260841701"/>
                </patternFill>
              </fill>
            </x14:dxf>
          </x14:cfRule>
          <xm:sqref>AE3:AG14</xm:sqref>
        </x14:conditionalFormatting>
        <x14:conditionalFormatting xmlns:xm="http://schemas.microsoft.com/office/excel/2006/main">
          <x14:cfRule type="expression" priority="528" id="{E8D4F1C7-2834-4198-B064-82D013CC68A7}">
            <xm:f>Postup!$K$21="2"</xm:f>
            <x14:dxf>
              <font>
                <color theme="1"/>
              </font>
              <fill>
                <patternFill>
                  <bgColor theme="0" tint="-0.24994659260841701"/>
                </patternFill>
              </fill>
            </x14:dxf>
          </x14:cfRule>
          <xm:sqref>AF20:AF56</xm:sqref>
        </x14:conditionalFormatting>
        <x14:conditionalFormatting xmlns:xm="http://schemas.microsoft.com/office/excel/2006/main">
          <x14:cfRule type="expression" priority="163" id="{1157F9D7-28A9-4918-9AA4-77A65C55329D}">
            <xm:f>Postup!$K$21="2"</xm:f>
            <x14:dxf>
              <font>
                <color theme="1"/>
              </font>
              <fill>
                <patternFill>
                  <bgColor theme="0" tint="-0.24994659260841701"/>
                </patternFill>
              </fill>
            </x14:dxf>
          </x14:cfRule>
          <xm:sqref>AF66</xm:sqref>
        </x14:conditionalFormatting>
        <x14:conditionalFormatting xmlns:xm="http://schemas.microsoft.com/office/excel/2006/main">
          <x14:cfRule type="expression" priority="158" id="{9FD735DD-401B-43D5-8FBC-D827445AF73C}">
            <xm:f>Postup!$K$21="2"</xm:f>
            <x14:dxf>
              <fill>
                <patternFill>
                  <bgColor theme="0" tint="-0.24994659260841701"/>
                </patternFill>
              </fill>
            </x14:dxf>
          </x14:cfRule>
          <xm:sqref>AF67:AF68 AF74</xm:sqref>
        </x14:conditionalFormatting>
        <x14:conditionalFormatting xmlns:xm="http://schemas.microsoft.com/office/excel/2006/main">
          <x14:cfRule type="expression" priority="161" id="{EDF9B5F5-C226-4F01-A3FC-E4CCEF663578}">
            <xm:f>Postup!$K$21="2"</xm:f>
            <x14:dxf>
              <font>
                <color theme="1"/>
              </font>
              <fill>
                <patternFill>
                  <bgColor theme="0" tint="-0.24994659260841701"/>
                </patternFill>
              </fill>
            </x14:dxf>
          </x14:cfRule>
          <xm:sqref>AF73</xm:sqref>
        </x14:conditionalFormatting>
        <x14:conditionalFormatting xmlns:xm="http://schemas.microsoft.com/office/excel/2006/main">
          <x14:cfRule type="expression" priority="942" id="{332B3964-C7C4-468E-9CA7-659AE8237A96}">
            <xm:f>Postup!$K$21="2"</xm:f>
            <x14:dxf>
              <font>
                <color theme="1"/>
              </font>
              <fill>
                <patternFill>
                  <bgColor theme="0" tint="-0.24994659260841701"/>
                </patternFill>
              </fill>
            </x14:dxf>
          </x14:cfRule>
          <xm:sqref>AF80:AF94</xm:sqref>
        </x14:conditionalFormatting>
        <x14:conditionalFormatting xmlns:xm="http://schemas.microsoft.com/office/excel/2006/main">
          <x14:cfRule type="expression" priority="870" id="{6E642225-383F-4204-9528-0ED6A582906B}">
            <xm:f>$AD$18&gt;Postup!$J$25</xm:f>
            <x14:dxf>
              <font>
                <color theme="1"/>
              </font>
              <fill>
                <patternFill>
                  <bgColor theme="0" tint="-0.24994659260841701"/>
                </patternFill>
              </fill>
            </x14:dxf>
          </x14:cfRule>
          <xm:sqref>AF16:AG16</xm:sqref>
        </x14:conditionalFormatting>
        <x14:conditionalFormatting xmlns:xm="http://schemas.microsoft.com/office/excel/2006/main">
          <x14:cfRule type="expression" priority="529" id="{12ED4397-8090-4C49-B5ED-AE327DE4A3F3}">
            <xm:f>Postup!$K$21="1"</xm:f>
            <x14:dxf>
              <font>
                <color theme="1"/>
              </font>
              <fill>
                <patternFill>
                  <bgColor theme="0" tint="-0.24994659260841701"/>
                </patternFill>
              </fill>
            </x14:dxf>
          </x14:cfRule>
          <xm:sqref>AG20:AG56</xm:sqref>
        </x14:conditionalFormatting>
        <x14:conditionalFormatting xmlns:xm="http://schemas.microsoft.com/office/excel/2006/main">
          <x14:cfRule type="expression" priority="244" id="{2A439574-1E2E-42BC-A1F6-9D32DDA6F3EC}">
            <xm:f>Postup!$K$21="1"</xm:f>
            <x14:dxf>
              <font>
                <color theme="1"/>
              </font>
              <fill>
                <patternFill>
                  <bgColor theme="0" tint="-0.24994659260841701"/>
                </patternFill>
              </fill>
            </x14:dxf>
          </x14:cfRule>
          <xm:sqref>AG66</xm:sqref>
        </x14:conditionalFormatting>
        <x14:conditionalFormatting xmlns:xm="http://schemas.microsoft.com/office/excel/2006/main">
          <x14:cfRule type="expression" priority="241" id="{6F55DDDE-B593-40BF-9CDA-CB8091167700}">
            <xm:f>Postup!$K$21="1"</xm:f>
            <x14:dxf>
              <fill>
                <patternFill>
                  <bgColor theme="0" tint="-0.24994659260841701"/>
                </patternFill>
              </fill>
            </x14:dxf>
          </x14:cfRule>
          <xm:sqref>AG67:AG68</xm:sqref>
        </x14:conditionalFormatting>
        <x14:conditionalFormatting xmlns:xm="http://schemas.microsoft.com/office/excel/2006/main">
          <x14:cfRule type="expression" priority="240" id="{54BD83A0-C8BD-4D96-B8ED-97FE72D5C006}">
            <xm:f>Postup!$K$21="1"</xm:f>
            <x14:dxf>
              <font>
                <color theme="1"/>
              </font>
              <fill>
                <patternFill>
                  <bgColor theme="0" tint="-0.24994659260841701"/>
                </patternFill>
              </fill>
            </x14:dxf>
          </x14:cfRule>
          <xm:sqref>AG73</xm:sqref>
        </x14:conditionalFormatting>
        <x14:conditionalFormatting xmlns:xm="http://schemas.microsoft.com/office/excel/2006/main">
          <x14:cfRule type="expression" priority="237" id="{631D7D5B-0D0B-4C99-BA08-74D616F1AE26}">
            <xm:f>Postup!$K$21="1"</xm:f>
            <x14:dxf>
              <fill>
                <patternFill>
                  <bgColor theme="0" tint="-0.24994659260841701"/>
                </patternFill>
              </fill>
            </x14:dxf>
          </x14:cfRule>
          <xm:sqref>AG74</xm:sqref>
        </x14:conditionalFormatting>
        <x14:conditionalFormatting xmlns:xm="http://schemas.microsoft.com/office/excel/2006/main">
          <x14:cfRule type="expression" priority="949" id="{04CEF540-D068-43B4-9E94-B9CEC23AC433}">
            <xm:f>Postup!$K$21="1"</xm:f>
            <x14:dxf>
              <font>
                <color theme="1"/>
              </font>
              <fill>
                <patternFill>
                  <bgColor theme="0" tint="-0.24994659260841701"/>
                </patternFill>
              </fill>
            </x14:dxf>
          </x14:cfRule>
          <xm:sqref>AG80:AG94</xm:sqref>
        </x14:conditionalFormatting>
        <x14:conditionalFormatting xmlns:xm="http://schemas.microsoft.com/office/excel/2006/main">
          <x14:cfRule type="expression" priority="15" id="{5F3E9A2C-C1C4-48F7-903B-2CF2C78ECBE9}">
            <xm:f>Postup!$K$21="2"</xm:f>
            <x14:dxf>
              <font>
                <color auto="1"/>
              </font>
              <fill>
                <patternFill>
                  <bgColor theme="0" tint="-0.24994659260841701"/>
                </patternFill>
              </fill>
            </x14:dxf>
          </x14:cfRule>
          <xm:sqref>AI20:AI56 AI80 AI82:AI94 AI97</xm:sqref>
        </x14:conditionalFormatting>
        <x14:conditionalFormatting xmlns:xm="http://schemas.microsoft.com/office/excel/2006/main">
          <x14:cfRule type="expression" priority="378" id="{736DC5AC-C552-4F0C-B999-B7EDE4CE3BBF}">
            <xm:f>Postup!$K$21="2"</xm:f>
            <x14:dxf>
              <font>
                <color theme="1"/>
              </font>
              <fill>
                <patternFill>
                  <bgColor theme="0" tint="-0.24994659260841701"/>
                </patternFill>
              </fill>
            </x14:dxf>
          </x14:cfRule>
          <xm:sqref>AI36:AI37</xm:sqref>
        </x14:conditionalFormatting>
        <x14:conditionalFormatting xmlns:xm="http://schemas.microsoft.com/office/excel/2006/main">
          <x14:cfRule type="expression" priority="525" id="{80021933-88AC-450F-A999-4A3B30341AEB}">
            <xm:f>Postup!$K$21="2"</xm:f>
            <x14:dxf>
              <font>
                <color theme="1"/>
              </font>
              <fill>
                <patternFill>
                  <bgColor theme="0" tint="-0.24994659260841701"/>
                </patternFill>
              </fill>
            </x14:dxf>
          </x14:cfRule>
          <xm:sqref>AI48</xm:sqref>
        </x14:conditionalFormatting>
        <x14:conditionalFormatting xmlns:xm="http://schemas.microsoft.com/office/excel/2006/main">
          <x14:cfRule type="expression" priority="375" id="{F86953CB-6BCF-4772-95C3-BC1C17DA0B85}">
            <xm:f>$AI$18&gt;Postup!$J$25</xm:f>
            <x14:dxf>
              <font>
                <color theme="1"/>
              </font>
              <fill>
                <patternFill>
                  <bgColor theme="0" tint="-0.24994659260841701"/>
                </patternFill>
              </fill>
            </x14:dxf>
          </x14:cfRule>
          <xm:sqref>AI18:AJ47</xm:sqref>
        </x14:conditionalFormatting>
        <x14:conditionalFormatting xmlns:xm="http://schemas.microsoft.com/office/excel/2006/main">
          <x14:cfRule type="expression" priority="6" id="{F74C19D9-C92E-4569-9241-64342A138158}">
            <xm:f>$AI$18&gt;Postup!$J$25</xm:f>
            <x14:dxf>
              <fill>
                <patternFill>
                  <bgColor theme="0" tint="-0.24994659260841701"/>
                </patternFill>
              </fill>
            </x14:dxf>
          </x14:cfRule>
          <xm:sqref>AI48:AJ48</xm:sqref>
        </x14:conditionalFormatting>
        <x14:conditionalFormatting xmlns:xm="http://schemas.microsoft.com/office/excel/2006/main">
          <x14:cfRule type="expression" priority="869" id="{08C4FD78-C8CF-46C9-8469-6303CA7F044B}">
            <xm:f>$AI$18&gt;Postup!$J$25</xm:f>
            <x14:dxf>
              <font>
                <color theme="1"/>
              </font>
              <fill>
                <patternFill>
                  <bgColor theme="0" tint="-0.24994659260841701"/>
                </patternFill>
              </fill>
            </x14:dxf>
          </x14:cfRule>
          <xm:sqref>AI49:AJ56 AI80:AJ80 AI80:AI94 AI82:AJ94 AI97:AJ97 AK16:AL16</xm:sqref>
        </x14:conditionalFormatting>
        <x14:conditionalFormatting xmlns:xm="http://schemas.microsoft.com/office/excel/2006/main">
          <x14:cfRule type="expression" priority="87" id="{C82111B7-184B-4683-949E-13E72408DC64}">
            <xm:f>$AI$18&gt;Postup!$J$25</xm:f>
            <x14:dxf>
              <font>
                <color auto="1"/>
              </font>
              <fill>
                <patternFill>
                  <bgColor theme="0" tint="-0.24994659260841701"/>
                </patternFill>
              </fill>
            </x14:dxf>
          </x14:cfRule>
          <xm:sqref>AI66:AJ74</xm:sqref>
        </x14:conditionalFormatting>
        <x14:conditionalFormatting xmlns:xm="http://schemas.microsoft.com/office/excel/2006/main">
          <x14:cfRule type="expression" priority="580" id="{13CF1F0A-2BD1-432E-8CA8-835B54AE6B0E}">
            <xm:f>$O$18&gt;Postup!$J$25</xm:f>
            <x14:dxf>
              <font>
                <color theme="1"/>
              </font>
              <fill>
                <patternFill>
                  <bgColor theme="0" tint="-0.24994659260841701"/>
                </patternFill>
              </fill>
            </x14:dxf>
          </x14:cfRule>
          <xm:sqref>AI79:AJ79</xm:sqref>
        </x14:conditionalFormatting>
        <x14:conditionalFormatting xmlns:xm="http://schemas.microsoft.com/office/excel/2006/main">
          <x14:cfRule type="expression" priority="521" id="{257669FA-B0A5-4ABC-8CDA-D376145C79C6}">
            <xm:f>AND(DAY(Postup!$H$24)=1,MONTH(Postup!$H$24)=1)</xm:f>
            <x14:dxf>
              <font>
                <color theme="1"/>
              </font>
              <fill>
                <patternFill>
                  <bgColor theme="0" tint="-0.24994659260841701"/>
                </patternFill>
              </fill>
            </x14:dxf>
          </x14:cfRule>
          <xm:sqref>AI48:AL48</xm:sqref>
        </x14:conditionalFormatting>
        <x14:conditionalFormatting xmlns:xm="http://schemas.microsoft.com/office/excel/2006/main">
          <x14:cfRule type="expression" priority="376" id="{CD5BED31-070D-430F-88F1-8AE56539947F}">
            <xm:f>Postup!$K$21="1"</xm:f>
            <x14:dxf>
              <font>
                <color theme="1"/>
              </font>
              <fill>
                <patternFill>
                  <bgColor theme="0" tint="-0.24994659260841701"/>
                </patternFill>
              </fill>
            </x14:dxf>
          </x14:cfRule>
          <xm:sqref>AJ20:AJ56</xm:sqref>
        </x14:conditionalFormatting>
        <x14:conditionalFormatting xmlns:xm="http://schemas.microsoft.com/office/excel/2006/main">
          <x14:cfRule type="expression" priority="14" id="{A4150D6C-2ADD-4715-A976-F453063105EB}">
            <xm:f>Postup!$K$21="1"</xm:f>
            <x14:dxf>
              <font>
                <color auto="1"/>
              </font>
              <fill>
                <patternFill>
                  <bgColor theme="0" tint="-0.24994659260841701"/>
                </patternFill>
              </fill>
            </x14:dxf>
          </x14:cfRule>
          <xm:sqref>AJ80 AJ82:AJ94 AJ97</xm:sqref>
        </x14:conditionalFormatting>
        <x14:conditionalFormatting xmlns:xm="http://schemas.microsoft.com/office/excel/2006/main">
          <x14:cfRule type="expression" priority="522" id="{BE1A4F36-7519-4E22-9BAC-AF3451EDA4AA}">
            <xm:f>Postup!$K$21="2"</xm:f>
            <x14:dxf>
              <font>
                <color theme="1"/>
              </font>
              <fill>
                <patternFill>
                  <bgColor theme="0" tint="-0.24994659260841701"/>
                </patternFill>
              </fill>
            </x14:dxf>
          </x14:cfRule>
          <xm:sqref>AK20:AK56</xm:sqref>
        </x14:conditionalFormatting>
        <x14:conditionalFormatting xmlns:xm="http://schemas.microsoft.com/office/excel/2006/main">
          <x14:cfRule type="expression" priority="173" id="{E01A092C-8B55-4B05-B34D-7DCB938C4EF2}">
            <xm:f>Postup!$K$21="2"</xm:f>
            <x14:dxf>
              <font>
                <color theme="1"/>
              </font>
              <fill>
                <patternFill>
                  <bgColor theme="0" tint="-0.24994659260841701"/>
                </patternFill>
              </fill>
            </x14:dxf>
          </x14:cfRule>
          <xm:sqref>AK66</xm:sqref>
        </x14:conditionalFormatting>
        <x14:conditionalFormatting xmlns:xm="http://schemas.microsoft.com/office/excel/2006/main">
          <x14:cfRule type="expression" priority="168" id="{1B689201-586F-4292-905C-7D8514D4450A}">
            <xm:f>Postup!$K$21="2"</xm:f>
            <x14:dxf>
              <fill>
                <patternFill>
                  <bgColor theme="0" tint="-0.24994659260841701"/>
                </patternFill>
              </fill>
            </x14:dxf>
          </x14:cfRule>
          <xm:sqref>AK67:AK68 AK74</xm:sqref>
        </x14:conditionalFormatting>
        <x14:conditionalFormatting xmlns:xm="http://schemas.microsoft.com/office/excel/2006/main">
          <x14:cfRule type="expression" priority="171" id="{91AEF12C-F40E-40D8-B753-F19AB372CE37}">
            <xm:f>Postup!$K$21="2"</xm:f>
            <x14:dxf>
              <font>
                <color theme="1"/>
              </font>
              <fill>
                <patternFill>
                  <bgColor theme="0" tint="-0.24994659260841701"/>
                </patternFill>
              </fill>
            </x14:dxf>
          </x14:cfRule>
          <xm:sqref>AK73</xm:sqref>
        </x14:conditionalFormatting>
        <x14:conditionalFormatting xmlns:xm="http://schemas.microsoft.com/office/excel/2006/main">
          <x14:cfRule type="expression" priority="941" id="{4F79DC0A-200E-4565-AB1C-99E00B21C5E4}">
            <xm:f>Postup!$K$21="2"</xm:f>
            <x14:dxf>
              <font>
                <color theme="1"/>
              </font>
              <fill>
                <patternFill>
                  <bgColor theme="0" tint="-0.24994659260841701"/>
                </patternFill>
              </fill>
            </x14:dxf>
          </x14:cfRule>
          <xm:sqref>AK80:AK94</xm:sqref>
        </x14:conditionalFormatting>
        <x14:conditionalFormatting xmlns:xm="http://schemas.microsoft.com/office/excel/2006/main">
          <x14:cfRule type="expression" priority="523" id="{F8E5BF6D-9805-46C9-AD5D-D0AFB861529A}">
            <xm:f>Postup!$K$21="1"</xm:f>
            <x14:dxf>
              <font>
                <color theme="1"/>
              </font>
              <fill>
                <patternFill>
                  <bgColor theme="0" tint="-0.24994659260841701"/>
                </patternFill>
              </fill>
            </x14:dxf>
          </x14:cfRule>
          <xm:sqref>AL20:AL56</xm:sqref>
        </x14:conditionalFormatting>
        <x14:conditionalFormatting xmlns:xm="http://schemas.microsoft.com/office/excel/2006/main">
          <x14:cfRule type="expression" priority="252" id="{EB51577B-04FF-4778-B19A-EC516DBBFC9C}">
            <xm:f>Postup!$K$21="1"</xm:f>
            <x14:dxf>
              <font>
                <color theme="1"/>
              </font>
              <fill>
                <patternFill>
                  <bgColor theme="0" tint="-0.24994659260841701"/>
                </patternFill>
              </fill>
            </x14:dxf>
          </x14:cfRule>
          <xm:sqref>AL66</xm:sqref>
        </x14:conditionalFormatting>
        <x14:conditionalFormatting xmlns:xm="http://schemas.microsoft.com/office/excel/2006/main">
          <x14:cfRule type="expression" priority="249" id="{FB06C017-59E7-4642-AE2A-50129E12A9F7}">
            <xm:f>Postup!$K$21="1"</xm:f>
            <x14:dxf>
              <fill>
                <patternFill>
                  <bgColor theme="0" tint="-0.24994659260841701"/>
                </patternFill>
              </fill>
            </x14:dxf>
          </x14:cfRule>
          <xm:sqref>AL67:AL68</xm:sqref>
        </x14:conditionalFormatting>
        <x14:conditionalFormatting xmlns:xm="http://schemas.microsoft.com/office/excel/2006/main">
          <x14:cfRule type="expression" priority="248" id="{9169082A-123B-4914-99B8-A12C81F0401C}">
            <xm:f>Postup!$K$21="1"</xm:f>
            <x14:dxf>
              <font>
                <color theme="1"/>
              </font>
              <fill>
                <patternFill>
                  <bgColor theme="0" tint="-0.24994659260841701"/>
                </patternFill>
              </fill>
            </x14:dxf>
          </x14:cfRule>
          <xm:sqref>AL73</xm:sqref>
        </x14:conditionalFormatting>
        <x14:conditionalFormatting xmlns:xm="http://schemas.microsoft.com/office/excel/2006/main">
          <x14:cfRule type="expression" priority="245" id="{D9362C31-0C7A-4066-A57E-2F92B1737581}">
            <xm:f>Postup!$K$21="1"</xm:f>
            <x14:dxf>
              <fill>
                <patternFill>
                  <bgColor theme="0" tint="-0.24994659260841701"/>
                </patternFill>
              </fill>
            </x14:dxf>
          </x14:cfRule>
          <xm:sqref>AL74</xm:sqref>
        </x14:conditionalFormatting>
        <x14:conditionalFormatting xmlns:xm="http://schemas.microsoft.com/office/excel/2006/main">
          <x14:cfRule type="expression" priority="1000" id="{30C65B28-8523-4D1B-A11A-3DA7159B3775}">
            <xm:f>Postup!$K$21="1"</xm:f>
            <x14:dxf>
              <font>
                <color theme="1"/>
              </font>
              <fill>
                <patternFill>
                  <bgColor theme="0" tint="-0.24994659260841701"/>
                </patternFill>
              </fill>
            </x14:dxf>
          </x14:cfRule>
          <xm:sqref>AL82:AL94 AL80</xm:sqref>
        </x14:conditionalFormatting>
        <x14:conditionalFormatting xmlns:xm="http://schemas.microsoft.com/office/excel/2006/main">
          <x14:cfRule type="expression" priority="382" id="{3AAC4B0F-B67E-48E9-9D81-C52F5313F047}">
            <xm:f>Postup!$K$21="2"</xm:f>
            <x14:dxf>
              <font>
                <color theme="1"/>
              </font>
              <fill>
                <patternFill>
                  <bgColor theme="0" tint="-0.24994659260841701"/>
                </patternFill>
              </fill>
            </x14:dxf>
          </x14:cfRule>
          <xm:sqref>AN20:AN56</xm:sqref>
        </x14:conditionalFormatting>
        <x14:conditionalFormatting xmlns:xm="http://schemas.microsoft.com/office/excel/2006/main">
          <x14:cfRule type="expression" priority="889" id="{BA426979-B7A9-4965-A57E-36F905AE4154}">
            <xm:f>Postup!$K$21="2"</xm:f>
            <x14:dxf>
              <font>
                <color theme="1"/>
              </font>
              <fill>
                <patternFill>
                  <bgColor theme="0" tint="-0.24994659260841701"/>
                </patternFill>
              </fill>
            </x14:dxf>
          </x14:cfRule>
          <xm:sqref>AN80:AN94 AN97</xm:sqref>
        </x14:conditionalFormatting>
        <x14:conditionalFormatting xmlns:xm="http://schemas.microsoft.com/office/excel/2006/main">
          <x14:cfRule type="expression" priority="379" id="{E8BB4128-3300-4DF8-8914-76CFB26C0CF6}">
            <xm:f>$AN$18&gt;Postup!$J$25</xm:f>
            <x14:dxf>
              <font>
                <color theme="1"/>
              </font>
              <fill>
                <patternFill>
                  <bgColor theme="0" tint="-0.24994659260841701"/>
                </patternFill>
              </fill>
            </x14:dxf>
          </x14:cfRule>
          <xm:sqref>AN18:AO47</xm:sqref>
        </x14:conditionalFormatting>
        <x14:conditionalFormatting xmlns:xm="http://schemas.microsoft.com/office/excel/2006/main">
          <x14:cfRule type="expression" priority="4" id="{D89D0398-6EB4-463E-99E3-4D6371595A1A}">
            <xm:f>$AN$18&gt;Postup!$J$25</xm:f>
            <x14:dxf>
              <fill>
                <patternFill>
                  <bgColor theme="0" tint="-0.24994659260841701"/>
                </patternFill>
              </fill>
            </x14:dxf>
          </x14:cfRule>
          <xm:sqref>AN48:AO48</xm:sqref>
        </x14:conditionalFormatting>
        <x14:conditionalFormatting xmlns:xm="http://schemas.microsoft.com/office/excel/2006/main">
          <x14:cfRule type="expression" priority="629" id="{B8B9E7B3-511A-4C98-B423-30ADB773B04F}">
            <xm:f>$AN$18&gt;Postup!$J$25</xm:f>
            <x14:dxf>
              <font>
                <color theme="1"/>
              </font>
              <fill>
                <patternFill>
                  <bgColor theme="0" tint="-0.24994659260841701"/>
                </patternFill>
              </fill>
            </x14:dxf>
          </x14:cfRule>
          <xm:sqref>AN49:AO56</xm:sqref>
        </x14:conditionalFormatting>
        <x14:conditionalFormatting xmlns:xm="http://schemas.microsoft.com/office/excel/2006/main">
          <x14:cfRule type="expression" priority="88" id="{288D7AC7-29AC-4444-A702-1B462B20D525}">
            <xm:f>$AN$18&gt;Postup!$J$25</xm:f>
            <x14:dxf>
              <font>
                <color auto="1"/>
              </font>
              <fill>
                <patternFill>
                  <bgColor theme="0" tint="-0.24994659260841701"/>
                </patternFill>
              </fill>
            </x14:dxf>
          </x14:cfRule>
          <xm:sqref>AN66:AO74</xm:sqref>
        </x14:conditionalFormatting>
        <x14:conditionalFormatting xmlns:xm="http://schemas.microsoft.com/office/excel/2006/main">
          <x14:cfRule type="expression" priority="579" id="{D7307A36-B1B7-4E09-8AC4-27A1926F99A2}">
            <xm:f>$O$18&gt;Postup!$J$25</xm:f>
            <x14:dxf>
              <font>
                <color theme="1"/>
              </font>
              <fill>
                <patternFill>
                  <bgColor theme="0" tint="-0.24994659260841701"/>
                </patternFill>
              </fill>
            </x14:dxf>
          </x14:cfRule>
          <xm:sqref>AN79:AO79</xm:sqref>
        </x14:conditionalFormatting>
        <x14:conditionalFormatting xmlns:xm="http://schemas.microsoft.com/office/excel/2006/main">
          <x14:cfRule type="expression" priority="868" id="{1C5B5366-6FDC-4553-90B7-0D13280FD899}">
            <xm:f>$AN$18&gt;Postup!$J$25</xm:f>
            <x14:dxf>
              <font>
                <color theme="1"/>
              </font>
              <fill>
                <patternFill>
                  <bgColor theme="0" tint="-0.24994659260841701"/>
                </patternFill>
              </fill>
            </x14:dxf>
          </x14:cfRule>
          <xm:sqref>AN82:AO94 AP16:AQ16 AN80:AO80 AN81 AN97:AO97</xm:sqref>
        </x14:conditionalFormatting>
        <x14:conditionalFormatting xmlns:xm="http://schemas.microsoft.com/office/excel/2006/main">
          <x14:cfRule type="expression" priority="515" id="{B14A5DB7-4FF7-4907-9A27-98A5F2CB09C0}">
            <xm:f>AND(DAY(Postup!$H$24)=1,MONTH(Postup!$H$24)=1)</xm:f>
            <x14:dxf>
              <font>
                <color theme="1"/>
              </font>
              <fill>
                <patternFill>
                  <bgColor theme="0" tint="-0.24994659260841701"/>
                </patternFill>
              </fill>
            </x14:dxf>
          </x14:cfRule>
          <xm:sqref>AN48:AQ48</xm:sqref>
        </x14:conditionalFormatting>
        <x14:conditionalFormatting xmlns:xm="http://schemas.microsoft.com/office/excel/2006/main">
          <x14:cfRule type="expression" priority="380" id="{A6F43FEB-6EAC-4E2B-9E84-3A1F3014FC47}">
            <xm:f>Postup!$K$21="1"</xm:f>
            <x14:dxf>
              <font>
                <color theme="1"/>
              </font>
              <fill>
                <patternFill>
                  <bgColor theme="0" tint="-0.24994659260841701"/>
                </patternFill>
              </fill>
            </x14:dxf>
          </x14:cfRule>
          <xm:sqref>AO20:AO56</xm:sqref>
        </x14:conditionalFormatting>
        <x14:conditionalFormatting xmlns:xm="http://schemas.microsoft.com/office/excel/2006/main">
          <x14:cfRule type="expression" priority="879" id="{3FD000B1-6C6D-49B3-9AF5-0C6CB21C0627}">
            <xm:f>Postup!$K$21="1"</xm:f>
            <x14:dxf>
              <font>
                <color theme="1"/>
              </font>
              <fill>
                <patternFill>
                  <bgColor theme="0" tint="-0.24994659260841701"/>
                </patternFill>
              </fill>
            </x14:dxf>
          </x14:cfRule>
          <xm:sqref>AO82:AO94 AO80 AO97</xm:sqref>
        </x14:conditionalFormatting>
        <x14:conditionalFormatting xmlns:xm="http://schemas.microsoft.com/office/excel/2006/main">
          <x14:cfRule type="expression" priority="3477" id="{091FFC92-7BFA-45DF-B38A-C6EF67FDFDDD}">
            <xm:f>Postup!$K$21="2"</xm:f>
            <x14:dxf>
              <font>
                <color theme="1"/>
              </font>
              <fill>
                <patternFill>
                  <bgColor theme="0" tint="-0.24994659260841701"/>
                </patternFill>
              </fill>
            </x14:dxf>
          </x14:cfRule>
          <xm:sqref>AP20:AP47 AP49:AP56 AP80:AP94 E102:E103 O102:O103</xm:sqref>
        </x14:conditionalFormatting>
        <x14:conditionalFormatting xmlns:xm="http://schemas.microsoft.com/office/excel/2006/main">
          <x14:cfRule type="expression" priority="516" id="{3ADBC71C-0B6C-4A86-BC51-6B05EA6CE473}">
            <xm:f>Postup!$K$21="2"</xm:f>
            <x14:dxf>
              <font>
                <color theme="1"/>
              </font>
              <fill>
                <patternFill>
                  <bgColor theme="0" tint="-0.24994659260841701"/>
                </patternFill>
              </fill>
            </x14:dxf>
          </x14:cfRule>
          <xm:sqref>AP25:AP56</xm:sqref>
        </x14:conditionalFormatting>
        <x14:conditionalFormatting xmlns:xm="http://schemas.microsoft.com/office/excel/2006/main">
          <x14:cfRule type="expression" priority="181" id="{7F265074-AA28-4BC1-BF42-8C6631C1D542}">
            <xm:f>Postup!$K$21="2"</xm:f>
            <x14:dxf>
              <font>
                <color theme="1"/>
              </font>
              <fill>
                <patternFill>
                  <bgColor theme="0" tint="-0.24994659260841701"/>
                </patternFill>
              </fill>
            </x14:dxf>
          </x14:cfRule>
          <xm:sqref>AP66</xm:sqref>
        </x14:conditionalFormatting>
        <x14:conditionalFormatting xmlns:xm="http://schemas.microsoft.com/office/excel/2006/main">
          <x14:cfRule type="expression" priority="176" id="{6814C922-C9DC-4BFE-A2D9-33745BA8B04F}">
            <xm:f>Postup!$K$21="2"</xm:f>
            <x14:dxf>
              <fill>
                <patternFill>
                  <bgColor theme="0" tint="-0.24994659260841701"/>
                </patternFill>
              </fill>
            </x14:dxf>
          </x14:cfRule>
          <xm:sqref>AP67:AP68 AP74</xm:sqref>
        </x14:conditionalFormatting>
        <x14:conditionalFormatting xmlns:xm="http://schemas.microsoft.com/office/excel/2006/main">
          <x14:cfRule type="expression" priority="179" id="{C5DE94D3-1861-46E9-8DC7-4E0761067CE8}">
            <xm:f>Postup!$K$21="2"</xm:f>
            <x14:dxf>
              <font>
                <color theme="1"/>
              </font>
              <fill>
                <patternFill>
                  <bgColor theme="0" tint="-0.24994659260841701"/>
                </patternFill>
              </fill>
            </x14:dxf>
          </x14:cfRule>
          <xm:sqref>AP73</xm:sqref>
        </x14:conditionalFormatting>
        <x14:conditionalFormatting xmlns:xm="http://schemas.microsoft.com/office/excel/2006/main">
          <x14:cfRule type="expression" priority="3476" id="{F8FB808B-B748-46F3-B206-7EA49CED9E94}">
            <xm:f>Postup!$K$21="1"</xm:f>
            <x14:dxf>
              <font>
                <color theme="1"/>
              </font>
              <fill>
                <patternFill>
                  <bgColor theme="0" tint="-0.24994659260841701"/>
                </patternFill>
              </fill>
            </x14:dxf>
          </x14:cfRule>
          <xm:sqref>AQ20:AQ47 AQ49:AQ56 AQ80 AQ82:AQ94</xm:sqref>
        </x14:conditionalFormatting>
        <x14:conditionalFormatting xmlns:xm="http://schemas.microsoft.com/office/excel/2006/main">
          <x14:cfRule type="expression" priority="517" id="{BB51BB6D-E4E0-449D-841F-1EEEED79BF04}">
            <xm:f>Postup!$K$21="1"</xm:f>
            <x14:dxf>
              <font>
                <color theme="1"/>
              </font>
              <fill>
                <patternFill>
                  <bgColor theme="0" tint="-0.24994659260841701"/>
                </patternFill>
              </fill>
            </x14:dxf>
          </x14:cfRule>
          <xm:sqref>AQ22:AQ56</xm:sqref>
        </x14:conditionalFormatting>
        <x14:conditionalFormatting xmlns:xm="http://schemas.microsoft.com/office/excel/2006/main">
          <x14:cfRule type="expression" priority="260" id="{BE70433B-25F0-4D9A-8AA1-CCD660FBC616}">
            <xm:f>Postup!$K$21="1"</xm:f>
            <x14:dxf>
              <font>
                <color theme="1"/>
              </font>
              <fill>
                <patternFill>
                  <bgColor theme="0" tint="-0.24994659260841701"/>
                </patternFill>
              </fill>
            </x14:dxf>
          </x14:cfRule>
          <xm:sqref>AQ66</xm:sqref>
        </x14:conditionalFormatting>
        <x14:conditionalFormatting xmlns:xm="http://schemas.microsoft.com/office/excel/2006/main">
          <x14:cfRule type="expression" priority="257" id="{0CF99B98-D75D-461A-B18C-B0F5876563B3}">
            <xm:f>Postup!$K$21="1"</xm:f>
            <x14:dxf>
              <fill>
                <patternFill>
                  <bgColor theme="0" tint="-0.24994659260841701"/>
                </patternFill>
              </fill>
            </x14:dxf>
          </x14:cfRule>
          <xm:sqref>AQ67:AQ68</xm:sqref>
        </x14:conditionalFormatting>
        <x14:conditionalFormatting xmlns:xm="http://schemas.microsoft.com/office/excel/2006/main">
          <x14:cfRule type="expression" priority="256" id="{0D71FEF3-46F8-43B5-B658-145CC19254D5}">
            <xm:f>Postup!$K$21="1"</xm:f>
            <x14:dxf>
              <font>
                <color theme="1"/>
              </font>
              <fill>
                <patternFill>
                  <bgColor theme="0" tint="-0.24994659260841701"/>
                </patternFill>
              </fill>
            </x14:dxf>
          </x14:cfRule>
          <xm:sqref>AQ73</xm:sqref>
        </x14:conditionalFormatting>
        <x14:conditionalFormatting xmlns:xm="http://schemas.microsoft.com/office/excel/2006/main">
          <x14:cfRule type="expression" priority="253" id="{23E1802A-21AF-46B3-BA6F-09A48CEFBB31}">
            <xm:f>Postup!$K$21="1"</xm:f>
            <x14:dxf>
              <fill>
                <patternFill>
                  <bgColor theme="0" tint="-0.24994659260841701"/>
                </patternFill>
              </fill>
            </x14:dxf>
          </x14:cfRule>
          <xm:sqref>AQ74</xm:sqref>
        </x14:conditionalFormatting>
        <x14:conditionalFormatting xmlns:xm="http://schemas.microsoft.com/office/excel/2006/main">
          <x14:cfRule type="expression" priority="451" id="{402459D3-3BE7-4530-A25F-8464B4C80D1B}">
            <xm:f>Postup!$K$21="2"</xm:f>
            <x14:dxf>
              <font>
                <color theme="1"/>
              </font>
              <fill>
                <patternFill>
                  <bgColor theme="0" tint="-0.24994659260841701"/>
                </patternFill>
              </fill>
            </x14:dxf>
          </x14:cfRule>
          <xm:sqref>AS20:AS56</xm:sqref>
        </x14:conditionalFormatting>
        <x14:conditionalFormatting xmlns:xm="http://schemas.microsoft.com/office/excel/2006/main">
          <x14:cfRule type="expression" priority="888" id="{4188E40D-C189-4611-A622-8896C8648E1C}">
            <xm:f>Postup!$K$21="2"</xm:f>
            <x14:dxf>
              <font>
                <color theme="1"/>
              </font>
              <fill>
                <patternFill>
                  <bgColor theme="0" tint="-0.24994659260841701"/>
                </patternFill>
              </fill>
            </x14:dxf>
          </x14:cfRule>
          <xm:sqref>AS80:AS94 AS97</xm:sqref>
        </x14:conditionalFormatting>
        <x14:conditionalFormatting xmlns:xm="http://schemas.microsoft.com/office/excel/2006/main">
          <x14:cfRule type="expression" priority="448" id="{6A03CFC2-0623-4F9A-A39F-B1033C2463C8}">
            <xm:f>$AS$18&gt;Postup!$J$25</xm:f>
            <x14:dxf>
              <font>
                <color theme="1"/>
              </font>
              <fill>
                <patternFill>
                  <bgColor theme="0" tint="-0.24994659260841701"/>
                </patternFill>
              </fill>
            </x14:dxf>
          </x14:cfRule>
          <xm:sqref>AS18:AT56</xm:sqref>
        </x14:conditionalFormatting>
        <x14:conditionalFormatting xmlns:xm="http://schemas.microsoft.com/office/excel/2006/main">
          <x14:cfRule type="expression" priority="89" id="{F8EBE70D-9869-4086-A912-7927CCE5665D}">
            <xm:f>$AS$18&gt;Postup!$J$25</xm:f>
            <x14:dxf>
              <font>
                <color auto="1"/>
              </font>
              <fill>
                <patternFill>
                  <bgColor theme="0" tint="-0.24994659260841701"/>
                </patternFill>
              </fill>
            </x14:dxf>
          </x14:cfRule>
          <xm:sqref>AS66:AT74</xm:sqref>
        </x14:conditionalFormatting>
        <x14:conditionalFormatting xmlns:xm="http://schemas.microsoft.com/office/excel/2006/main">
          <x14:cfRule type="expression" priority="578" id="{16D11A76-0EF9-4DBC-9364-AC6C841F05CC}">
            <xm:f>$O$18&gt;Postup!$J$25</xm:f>
            <x14:dxf>
              <font>
                <color theme="1"/>
              </font>
              <fill>
                <patternFill>
                  <bgColor theme="0" tint="-0.24994659260841701"/>
                </patternFill>
              </fill>
            </x14:dxf>
          </x14:cfRule>
          <xm:sqref>AS79:AT79</xm:sqref>
        </x14:conditionalFormatting>
        <x14:conditionalFormatting xmlns:xm="http://schemas.microsoft.com/office/excel/2006/main">
          <x14:cfRule type="expression" priority="867" id="{85401EAA-697D-4465-B1FC-36B7F1F78FE0}">
            <xm:f>$AS$18&gt;Postup!$J$25</xm:f>
            <x14:dxf>
              <font>
                <color theme="1"/>
              </font>
              <fill>
                <patternFill>
                  <bgColor theme="0" tint="-0.24994659260841701"/>
                </patternFill>
              </fill>
            </x14:dxf>
          </x14:cfRule>
          <xm:sqref>AS82:AT94 AU16:AV16 AS80:AT80 AS81 AS97:AT97</xm:sqref>
        </x14:conditionalFormatting>
        <x14:conditionalFormatting xmlns:xm="http://schemas.microsoft.com/office/excel/2006/main">
          <x14:cfRule type="expression" priority="509" id="{3BED6C82-1625-41C5-9206-C83A76DD6EAE}">
            <xm:f>AND(DAY(Postup!$H$24)=1,MONTH(Postup!$H$24)=1)</xm:f>
            <x14:dxf>
              <font>
                <color theme="1"/>
              </font>
              <fill>
                <patternFill>
                  <bgColor theme="0" tint="-0.24994659260841701"/>
                </patternFill>
              </fill>
            </x14:dxf>
          </x14:cfRule>
          <xm:sqref>AS48:AV48</xm:sqref>
        </x14:conditionalFormatting>
        <x14:conditionalFormatting xmlns:xm="http://schemas.microsoft.com/office/excel/2006/main">
          <x14:cfRule type="expression" priority="584" id="{54C462F4-0D30-45BA-88DE-34B7E29C9B66}">
            <xm:f>Postup!$K$21="0"</xm:f>
            <x14:dxf>
              <fill>
                <patternFill>
                  <bgColor theme="0" tint="-0.24994659260841701"/>
                </patternFill>
              </fill>
            </x14:dxf>
          </x14:cfRule>
          <xm:sqref>AS66:AV74 AX66:BA74 BC66:BF74 BH66:BK74 AN66:AQ74 AI66:AL74 AD66:AG74 Y66:AB74 T66:W74 O66:R74</xm:sqref>
        </x14:conditionalFormatting>
        <x14:conditionalFormatting xmlns:xm="http://schemas.microsoft.com/office/excel/2006/main">
          <x14:cfRule type="expression" priority="449" id="{16B2F8E9-CF15-41F8-8794-299028186ADB}">
            <xm:f>Postup!$K$21="1"</xm:f>
            <x14:dxf>
              <font>
                <color theme="1"/>
              </font>
              <fill>
                <patternFill>
                  <bgColor theme="0" tint="-0.24994659260841701"/>
                </patternFill>
              </fill>
            </x14:dxf>
          </x14:cfRule>
          <xm:sqref>AT20:AT56</xm:sqref>
        </x14:conditionalFormatting>
        <x14:conditionalFormatting xmlns:xm="http://schemas.microsoft.com/office/excel/2006/main">
          <x14:cfRule type="expression" priority="878" id="{6136E262-C8DF-49BA-8793-67762B54EFC1}">
            <xm:f>Postup!$K$21="1"</xm:f>
            <x14:dxf>
              <font>
                <color theme="1"/>
              </font>
              <fill>
                <patternFill>
                  <bgColor theme="0" tint="-0.24994659260841701"/>
                </patternFill>
              </fill>
            </x14:dxf>
          </x14:cfRule>
          <xm:sqref>AT82:AT94 AT80 AT97</xm:sqref>
        </x14:conditionalFormatting>
        <x14:conditionalFormatting xmlns:xm="http://schemas.microsoft.com/office/excel/2006/main">
          <x14:cfRule type="expression" priority="940" id="{F3BC532A-9FC2-49E2-A1E2-E5A2081582AE}">
            <xm:f>Postup!$K$21="2"</xm:f>
            <x14:dxf>
              <font>
                <color theme="1"/>
              </font>
              <fill>
                <patternFill>
                  <bgColor theme="0" tint="-0.24994659260841701"/>
                </patternFill>
              </fill>
            </x14:dxf>
          </x14:cfRule>
          <xm:sqref>AU20:AU47 AU49:AU56 AU80:AU94</xm:sqref>
        </x14:conditionalFormatting>
        <x14:conditionalFormatting xmlns:xm="http://schemas.microsoft.com/office/excel/2006/main">
          <x14:cfRule type="expression" priority="510" id="{C87E1933-CC17-43CF-8F6F-18A554FCAD4D}">
            <xm:f>Postup!$K$21="2"</xm:f>
            <x14:dxf>
              <font>
                <color theme="1"/>
              </font>
              <fill>
                <patternFill>
                  <bgColor theme="0" tint="-0.24994659260841701"/>
                </patternFill>
              </fill>
            </x14:dxf>
          </x14:cfRule>
          <xm:sqref>AU48</xm:sqref>
        </x14:conditionalFormatting>
        <x14:conditionalFormatting xmlns:xm="http://schemas.microsoft.com/office/excel/2006/main">
          <x14:cfRule type="expression" priority="447" id="{547411D8-60F2-4CC8-A225-98698F7681F2}">
            <xm:f>Postup!$K$21="2"</xm:f>
            <x14:dxf>
              <font>
                <color theme="1"/>
              </font>
              <fill>
                <patternFill>
                  <bgColor theme="0" tint="-0.24994659260841701"/>
                </patternFill>
              </fill>
            </x14:dxf>
          </x14:cfRule>
          <xm:sqref>AU66</xm:sqref>
        </x14:conditionalFormatting>
        <x14:conditionalFormatting xmlns:xm="http://schemas.microsoft.com/office/excel/2006/main">
          <x14:cfRule type="expression" priority="436" id="{4BEC7EC1-0948-4F82-B69E-0225B86FB762}">
            <xm:f>Postup!$K$21="2"</xm:f>
            <x14:dxf>
              <fill>
                <patternFill>
                  <bgColor theme="0" tint="-0.24994659260841701"/>
                </patternFill>
              </fill>
            </x14:dxf>
          </x14:cfRule>
          <xm:sqref>AU67:AU68 AU74</xm:sqref>
        </x14:conditionalFormatting>
        <x14:conditionalFormatting xmlns:xm="http://schemas.microsoft.com/office/excel/2006/main">
          <x14:cfRule type="expression" priority="443" id="{CA8FD3BC-185C-41F3-9CE4-FCD6969609CC}">
            <xm:f>Postup!$K$21="2"</xm:f>
            <x14:dxf>
              <font>
                <color theme="1"/>
              </font>
              <fill>
                <patternFill>
                  <bgColor theme="0" tint="-0.24994659260841701"/>
                </patternFill>
              </fill>
            </x14:dxf>
          </x14:cfRule>
          <xm:sqref>AU73</xm:sqref>
        </x14:conditionalFormatting>
        <x14:conditionalFormatting xmlns:xm="http://schemas.microsoft.com/office/excel/2006/main">
          <x14:cfRule type="expression" priority="3310" id="{A67287F5-D5F4-4ECE-92BC-D03AAE626593}">
            <xm:f>Postup!$K$21="1"</xm:f>
            <x14:dxf>
              <font>
                <color theme="1"/>
              </font>
              <fill>
                <patternFill>
                  <bgColor theme="0" tint="-0.24994659260841701"/>
                </patternFill>
              </fill>
            </x14:dxf>
          </x14:cfRule>
          <xm:sqref>AV20:AV47 AV49:AV56 AV80 AV82:AV94</xm:sqref>
        </x14:conditionalFormatting>
        <x14:conditionalFormatting xmlns:xm="http://schemas.microsoft.com/office/excel/2006/main">
          <x14:cfRule type="expression" priority="511" id="{11BBB2ED-66CC-4290-B63C-5CA666D470DA}">
            <xm:f>Postup!$K$21="1"</xm:f>
            <x14:dxf>
              <font>
                <color theme="1"/>
              </font>
              <fill>
                <patternFill>
                  <bgColor theme="0" tint="-0.24994659260841701"/>
                </patternFill>
              </fill>
            </x14:dxf>
          </x14:cfRule>
          <xm:sqref>AV48</xm:sqref>
        </x14:conditionalFormatting>
        <x14:conditionalFormatting xmlns:xm="http://schemas.microsoft.com/office/excel/2006/main">
          <x14:cfRule type="expression" priority="445" id="{B3D792F1-BFB8-4791-BA37-0C8A821285DF}">
            <xm:f>Postup!$K$21="1"</xm:f>
            <x14:dxf>
              <font>
                <color theme="1"/>
              </font>
              <fill>
                <patternFill>
                  <bgColor theme="0" tint="-0.24994659260841701"/>
                </patternFill>
              </fill>
            </x14:dxf>
          </x14:cfRule>
          <xm:sqref>AV66</xm:sqref>
        </x14:conditionalFormatting>
        <x14:conditionalFormatting xmlns:xm="http://schemas.microsoft.com/office/excel/2006/main">
          <x14:cfRule type="expression" priority="437" id="{F38F7911-57A7-4AE6-8385-0BC7D3CB18BA}">
            <xm:f>Postup!$K$21="1"</xm:f>
            <x14:dxf>
              <fill>
                <patternFill>
                  <bgColor theme="0" tint="-0.24994659260841701"/>
                </patternFill>
              </fill>
            </x14:dxf>
          </x14:cfRule>
          <xm:sqref>AV67:AV68 AV74</xm:sqref>
        </x14:conditionalFormatting>
        <x14:conditionalFormatting xmlns:xm="http://schemas.microsoft.com/office/excel/2006/main">
          <x14:cfRule type="expression" priority="441" id="{949596D9-3821-4181-8CB1-05CCA3238B93}">
            <xm:f>Postup!$K$21="1"</xm:f>
            <x14:dxf>
              <font>
                <color theme="1"/>
              </font>
              <fill>
                <patternFill>
                  <bgColor theme="0" tint="-0.24994659260841701"/>
                </patternFill>
              </fill>
            </x14:dxf>
          </x14:cfRule>
          <xm:sqref>AV73</xm:sqref>
        </x14:conditionalFormatting>
        <x14:conditionalFormatting xmlns:xm="http://schemas.microsoft.com/office/excel/2006/main">
          <x14:cfRule type="expression" priority="455" id="{3E824716-CE09-4AA7-9E1C-FDCA456AB380}">
            <xm:f>Postup!$K$21="2"</xm:f>
            <x14:dxf>
              <font>
                <color theme="1"/>
              </font>
              <fill>
                <patternFill>
                  <bgColor theme="0" tint="-0.24994659260841701"/>
                </patternFill>
              </fill>
            </x14:dxf>
          </x14:cfRule>
          <xm:sqref>AX20:AX56</xm:sqref>
        </x14:conditionalFormatting>
        <x14:conditionalFormatting xmlns:xm="http://schemas.microsoft.com/office/excel/2006/main">
          <x14:cfRule type="expression" priority="887" id="{440296BA-1987-445A-AC2A-FA50B3920D6B}">
            <xm:f>Postup!$K$21="2"</xm:f>
            <x14:dxf>
              <font>
                <color theme="1"/>
              </font>
              <fill>
                <patternFill>
                  <bgColor theme="0" tint="-0.24994659260841701"/>
                </patternFill>
              </fill>
            </x14:dxf>
          </x14:cfRule>
          <xm:sqref>AX80:AX94 AX97</xm:sqref>
        </x14:conditionalFormatting>
        <x14:conditionalFormatting xmlns:xm="http://schemas.microsoft.com/office/excel/2006/main">
          <x14:cfRule type="expression" priority="452" id="{C0059FB6-74D6-4698-98E3-EDEC6350A02C}">
            <xm:f>$AX$18&gt;Postup!$J$25</xm:f>
            <x14:dxf>
              <font>
                <color theme="1"/>
              </font>
              <fill>
                <patternFill>
                  <bgColor theme="0" tint="-0.24994659260841701"/>
                </patternFill>
              </fill>
            </x14:dxf>
          </x14:cfRule>
          <xm:sqref>AX18:AY56</xm:sqref>
        </x14:conditionalFormatting>
        <x14:conditionalFormatting xmlns:xm="http://schemas.microsoft.com/office/excel/2006/main">
          <x14:cfRule type="expression" priority="90" id="{1BBD7520-8116-4FEC-8B97-12BECF1FAD66}">
            <xm:f>$AX$18&gt;Postup!$J$25</xm:f>
            <x14:dxf>
              <font>
                <color auto="1"/>
              </font>
              <fill>
                <patternFill>
                  <bgColor theme="0" tint="-0.24994659260841701"/>
                </patternFill>
              </fill>
            </x14:dxf>
          </x14:cfRule>
          <xm:sqref>AX66:AY74</xm:sqref>
        </x14:conditionalFormatting>
        <x14:conditionalFormatting xmlns:xm="http://schemas.microsoft.com/office/excel/2006/main">
          <x14:cfRule type="expression" priority="577" id="{9DF20FBD-4501-4F73-896F-88147605889F}">
            <xm:f>$O$18&gt;Postup!$J$25</xm:f>
            <x14:dxf>
              <font>
                <color theme="1"/>
              </font>
              <fill>
                <patternFill>
                  <bgColor theme="0" tint="-0.24994659260841701"/>
                </patternFill>
              </fill>
            </x14:dxf>
          </x14:cfRule>
          <xm:sqref>AX79:AY79</xm:sqref>
        </x14:conditionalFormatting>
        <x14:conditionalFormatting xmlns:xm="http://schemas.microsoft.com/office/excel/2006/main">
          <x14:cfRule type="expression" priority="866" id="{79B14C05-192B-48BE-BEA8-CB988538D5CC}">
            <xm:f>$AX$18&gt;Postup!$J$25</xm:f>
            <x14:dxf>
              <font>
                <color theme="1"/>
              </font>
              <fill>
                <patternFill>
                  <bgColor theme="0" tint="-0.24994659260841701"/>
                </patternFill>
              </fill>
            </x14:dxf>
          </x14:cfRule>
          <xm:sqref>AX82:AY94 AZ16:BA16 AX80:AY80 AX81 AX97:AY97</xm:sqref>
        </x14:conditionalFormatting>
        <x14:conditionalFormatting xmlns:xm="http://schemas.microsoft.com/office/excel/2006/main">
          <x14:cfRule type="expression" priority="503" id="{882535BE-CCA3-48AD-89C9-9DAE5431F717}">
            <xm:f>AND(DAY(Postup!$H$24)=1,MONTH(Postup!$H$24)=1)</xm:f>
            <x14:dxf>
              <font>
                <color theme="1"/>
              </font>
              <fill>
                <patternFill>
                  <bgColor theme="0" tint="-0.24994659260841701"/>
                </patternFill>
              </fill>
            </x14:dxf>
          </x14:cfRule>
          <xm:sqref>AX48:BA48</xm:sqref>
        </x14:conditionalFormatting>
        <x14:conditionalFormatting xmlns:xm="http://schemas.microsoft.com/office/excel/2006/main">
          <x14:cfRule type="expression" priority="453" id="{35B5D22F-5D56-4804-A398-B59110249901}">
            <xm:f>Postup!$K$21="1"</xm:f>
            <x14:dxf>
              <font>
                <color theme="1"/>
              </font>
              <fill>
                <patternFill>
                  <bgColor theme="0" tint="-0.24994659260841701"/>
                </patternFill>
              </fill>
            </x14:dxf>
          </x14:cfRule>
          <xm:sqref>AY20:AY56</xm:sqref>
        </x14:conditionalFormatting>
        <x14:conditionalFormatting xmlns:xm="http://schemas.microsoft.com/office/excel/2006/main">
          <x14:cfRule type="expression" priority="877" id="{9AB89BD6-035A-4874-AA08-2B950BFD0D80}">
            <xm:f>Postup!$K$21="1"</xm:f>
            <x14:dxf>
              <font>
                <color theme="1"/>
              </font>
              <fill>
                <patternFill>
                  <bgColor theme="0" tint="-0.24994659260841701"/>
                </patternFill>
              </fill>
            </x14:dxf>
          </x14:cfRule>
          <xm:sqref>AY82:AY94 AY80 AY97</xm:sqref>
        </x14:conditionalFormatting>
        <x14:conditionalFormatting xmlns:xm="http://schemas.microsoft.com/office/excel/2006/main">
          <x14:cfRule type="expression" priority="939" id="{53E95E13-1288-49E7-AE32-1A39B6806A07}">
            <xm:f>Postup!$K$21="2"</xm:f>
            <x14:dxf>
              <font>
                <color theme="1"/>
              </font>
              <fill>
                <patternFill>
                  <bgColor theme="0" tint="-0.24994659260841701"/>
                </patternFill>
              </fill>
            </x14:dxf>
          </x14:cfRule>
          <xm:sqref>AZ20:AZ47 AZ49:AZ56 AZ80:AZ94</xm:sqref>
        </x14:conditionalFormatting>
        <x14:conditionalFormatting xmlns:xm="http://schemas.microsoft.com/office/excel/2006/main">
          <x14:cfRule type="expression" priority="504" id="{BA545ED3-8634-42FA-84A2-6B02CFFEBECD}">
            <xm:f>Postup!$K$21="2"</xm:f>
            <x14:dxf>
              <font>
                <color theme="1"/>
              </font>
              <fill>
                <patternFill>
                  <bgColor theme="0" tint="-0.24994659260841701"/>
                </patternFill>
              </fill>
            </x14:dxf>
          </x14:cfRule>
          <xm:sqref>AZ48</xm:sqref>
        </x14:conditionalFormatting>
        <x14:conditionalFormatting xmlns:xm="http://schemas.microsoft.com/office/excel/2006/main">
          <x14:cfRule type="expression" priority="431" id="{3127D942-E866-4D56-B438-447BA0E340EB}">
            <xm:f>Postup!$K$21="2"</xm:f>
            <x14:dxf>
              <font>
                <color theme="1"/>
              </font>
              <fill>
                <patternFill>
                  <bgColor theme="0" tint="-0.24994659260841701"/>
                </patternFill>
              </fill>
            </x14:dxf>
          </x14:cfRule>
          <xm:sqref>AZ66</xm:sqref>
        </x14:conditionalFormatting>
        <x14:conditionalFormatting xmlns:xm="http://schemas.microsoft.com/office/excel/2006/main">
          <x14:cfRule type="expression" priority="425" id="{85B0D59A-F6A6-4D37-8525-453C41029650}">
            <xm:f>Postup!$K$21="2"</xm:f>
            <x14:dxf>
              <fill>
                <patternFill>
                  <bgColor theme="0" tint="-0.24994659260841701"/>
                </patternFill>
              </fill>
            </x14:dxf>
          </x14:cfRule>
          <xm:sqref>AZ67:AZ68 AZ74</xm:sqref>
        </x14:conditionalFormatting>
        <x14:conditionalFormatting xmlns:xm="http://schemas.microsoft.com/office/excel/2006/main">
          <x14:cfRule type="expression" priority="424" id="{F2559629-39CF-4849-B6EC-1CA0A14FCA05}">
            <xm:f>Postup!$K$21="2"</xm:f>
            <x14:dxf>
              <font>
                <color theme="1"/>
              </font>
              <fill>
                <patternFill>
                  <bgColor theme="0" tint="-0.24994659260841701"/>
                </patternFill>
              </fill>
            </x14:dxf>
          </x14:cfRule>
          <xm:sqref>AZ73</xm:sqref>
        </x14:conditionalFormatting>
        <x14:conditionalFormatting xmlns:xm="http://schemas.microsoft.com/office/excel/2006/main">
          <x14:cfRule type="expression" priority="3309" id="{F77ACBFB-981C-4037-BDDA-172152E89E1B}">
            <xm:f>Postup!$K$21="1"</xm:f>
            <x14:dxf>
              <font>
                <color theme="1"/>
              </font>
              <fill>
                <patternFill>
                  <bgColor theme="0" tint="-0.24994659260841701"/>
                </patternFill>
              </fill>
            </x14:dxf>
          </x14:cfRule>
          <xm:sqref>BA20:BA47 BA49:BA56 BA80 BA82:BA94</xm:sqref>
        </x14:conditionalFormatting>
        <x14:conditionalFormatting xmlns:xm="http://schemas.microsoft.com/office/excel/2006/main">
          <x14:cfRule type="expression" priority="505" id="{02A9FDCE-1A6F-4DED-AB82-B374B468E816}">
            <xm:f>Postup!$K$21="1"</xm:f>
            <x14:dxf>
              <font>
                <color theme="1"/>
              </font>
              <fill>
                <patternFill>
                  <bgColor theme="0" tint="-0.24994659260841701"/>
                </patternFill>
              </fill>
            </x14:dxf>
          </x14:cfRule>
          <xm:sqref>BA48</xm:sqref>
        </x14:conditionalFormatting>
        <x14:conditionalFormatting xmlns:xm="http://schemas.microsoft.com/office/excel/2006/main">
          <x14:cfRule type="expression" priority="429" id="{FA430869-CCE3-4B0F-A475-9604867936D0}">
            <xm:f>Postup!$K$21="1"</xm:f>
            <x14:dxf>
              <font>
                <color theme="1"/>
              </font>
              <fill>
                <patternFill>
                  <bgColor theme="0" tint="-0.24994659260841701"/>
                </patternFill>
              </fill>
            </x14:dxf>
          </x14:cfRule>
          <xm:sqref>BA66</xm:sqref>
        </x14:conditionalFormatting>
        <x14:conditionalFormatting xmlns:xm="http://schemas.microsoft.com/office/excel/2006/main">
          <x14:cfRule type="expression" priority="426" id="{CDC5AAA8-F8C5-4E90-B943-57B8B61B80F0}">
            <xm:f>Postup!$K$21="1"</xm:f>
            <x14:dxf>
              <fill>
                <patternFill>
                  <bgColor theme="0" tint="-0.24994659260841701"/>
                </patternFill>
              </fill>
            </x14:dxf>
          </x14:cfRule>
          <xm:sqref>BA67:BA68 BA74</xm:sqref>
        </x14:conditionalFormatting>
        <x14:conditionalFormatting xmlns:xm="http://schemas.microsoft.com/office/excel/2006/main">
          <x14:cfRule type="expression" priority="422" id="{60620A6E-B804-448F-8143-A91142A3B707}">
            <xm:f>Postup!$K$21="1"</xm:f>
            <x14:dxf>
              <font>
                <color theme="1"/>
              </font>
              <fill>
                <patternFill>
                  <bgColor theme="0" tint="-0.24994659260841701"/>
                </patternFill>
              </fill>
            </x14:dxf>
          </x14:cfRule>
          <xm:sqref>BA73</xm:sqref>
        </x14:conditionalFormatting>
        <x14:conditionalFormatting xmlns:xm="http://schemas.microsoft.com/office/excel/2006/main">
          <x14:cfRule type="expression" priority="459" id="{D9700EA6-1192-4B10-B985-F8D86F6B62CC}">
            <xm:f>Postup!$K$21="2"</xm:f>
            <x14:dxf>
              <font>
                <color theme="1"/>
              </font>
              <fill>
                <patternFill>
                  <bgColor theme="0" tint="-0.24994659260841701"/>
                </patternFill>
              </fill>
            </x14:dxf>
          </x14:cfRule>
          <xm:sqref>BC20:BC56</xm:sqref>
        </x14:conditionalFormatting>
        <x14:conditionalFormatting xmlns:xm="http://schemas.microsoft.com/office/excel/2006/main">
          <x14:cfRule type="expression" priority="886" id="{7CA0A2B3-1073-4404-A1A1-09616E42EF04}">
            <xm:f>Postup!$K$21="2"</xm:f>
            <x14:dxf>
              <font>
                <color theme="1"/>
              </font>
              <fill>
                <patternFill>
                  <bgColor theme="0" tint="-0.24994659260841701"/>
                </patternFill>
              </fill>
            </x14:dxf>
          </x14:cfRule>
          <xm:sqref>BC80:BC94 BC97</xm:sqref>
        </x14:conditionalFormatting>
        <x14:conditionalFormatting xmlns:xm="http://schemas.microsoft.com/office/excel/2006/main">
          <x14:cfRule type="expression" priority="456" id="{9F3ABC0F-9834-477C-80FC-232A29348DF8}">
            <xm:f>$BC$18&gt;Postup!$J$25</xm:f>
            <x14:dxf>
              <font>
                <color theme="1"/>
              </font>
              <fill>
                <patternFill>
                  <bgColor theme="0" tint="-0.24994659260841701"/>
                </patternFill>
              </fill>
            </x14:dxf>
          </x14:cfRule>
          <xm:sqref>BC18:BD56</xm:sqref>
        </x14:conditionalFormatting>
        <x14:conditionalFormatting xmlns:xm="http://schemas.microsoft.com/office/excel/2006/main">
          <x14:cfRule type="expression" priority="91" id="{012D5236-7D71-4898-9018-6E7C8D24309E}">
            <xm:f>$BC$18&gt;Postup!$J$25</xm:f>
            <x14:dxf>
              <font>
                <color auto="1"/>
              </font>
              <fill>
                <patternFill>
                  <bgColor theme="0" tint="-0.24994659260841701"/>
                </patternFill>
              </fill>
            </x14:dxf>
          </x14:cfRule>
          <xm:sqref>BC66:BD74</xm:sqref>
        </x14:conditionalFormatting>
        <x14:conditionalFormatting xmlns:xm="http://schemas.microsoft.com/office/excel/2006/main">
          <x14:cfRule type="expression" priority="576" id="{E16A50E5-AFC6-478F-B307-23D7A244E358}">
            <xm:f>$O$18&gt;Postup!$J$25</xm:f>
            <x14:dxf>
              <font>
                <color theme="1"/>
              </font>
              <fill>
                <patternFill>
                  <bgColor theme="0" tint="-0.24994659260841701"/>
                </patternFill>
              </fill>
            </x14:dxf>
          </x14:cfRule>
          <xm:sqref>BC79:BD79</xm:sqref>
        </x14:conditionalFormatting>
        <x14:conditionalFormatting xmlns:xm="http://schemas.microsoft.com/office/excel/2006/main">
          <x14:cfRule type="expression" priority="865" id="{173C42E2-8A83-41B6-9520-B2D56D6200CA}">
            <xm:f>$BC$18&gt;Postup!$J$25</xm:f>
            <x14:dxf>
              <font>
                <color theme="1"/>
              </font>
              <fill>
                <patternFill>
                  <bgColor theme="0" tint="-0.24994659260841701"/>
                </patternFill>
              </fill>
            </x14:dxf>
          </x14:cfRule>
          <xm:sqref>BC82:BD94 BE16:BF16 BC80:BD80 BC81 BC97:BD97</xm:sqref>
        </x14:conditionalFormatting>
        <x14:conditionalFormatting xmlns:xm="http://schemas.microsoft.com/office/excel/2006/main">
          <x14:cfRule type="expression" priority="497" id="{D3FF1E10-189E-47E9-8202-C1AF5BDFD9DB}">
            <xm:f>AND(DAY(Postup!$H$24)=1,MONTH(Postup!$H$24)=1)</xm:f>
            <x14:dxf>
              <font>
                <color theme="1"/>
              </font>
              <fill>
                <patternFill>
                  <bgColor theme="0" tint="-0.24994659260841701"/>
                </patternFill>
              </fill>
            </x14:dxf>
          </x14:cfRule>
          <xm:sqref>BC48:BF48</xm:sqref>
        </x14:conditionalFormatting>
        <x14:conditionalFormatting xmlns:xm="http://schemas.microsoft.com/office/excel/2006/main">
          <x14:cfRule type="expression" priority="457" id="{BEE72B28-DFCC-4666-AEBD-7EF7EF4B0D2C}">
            <xm:f>Postup!$K$21="1"</xm:f>
            <x14:dxf>
              <font>
                <color theme="1"/>
              </font>
              <fill>
                <patternFill>
                  <bgColor theme="0" tint="-0.24994659260841701"/>
                </patternFill>
              </fill>
            </x14:dxf>
          </x14:cfRule>
          <xm:sqref>BD20:BD56</xm:sqref>
        </x14:conditionalFormatting>
        <x14:conditionalFormatting xmlns:xm="http://schemas.microsoft.com/office/excel/2006/main">
          <x14:cfRule type="expression" priority="876" id="{C48643D4-33E2-49C0-9554-0CBC5F87EC18}">
            <xm:f>Postup!$K$21="1"</xm:f>
            <x14:dxf>
              <font>
                <color theme="1"/>
              </font>
              <fill>
                <patternFill>
                  <bgColor theme="0" tint="-0.24994659260841701"/>
                </patternFill>
              </fill>
            </x14:dxf>
          </x14:cfRule>
          <xm:sqref>BD82:BD94 BD80 BD97</xm:sqref>
        </x14:conditionalFormatting>
        <x14:conditionalFormatting xmlns:xm="http://schemas.microsoft.com/office/excel/2006/main">
          <x14:cfRule type="expression" priority="938" id="{4115BB6D-AFFD-44AC-A1D8-FB3F5C38195C}">
            <xm:f>Postup!$K$21="2"</xm:f>
            <x14:dxf>
              <font>
                <color theme="1"/>
              </font>
              <fill>
                <patternFill>
                  <bgColor theme="0" tint="-0.24994659260841701"/>
                </patternFill>
              </fill>
            </x14:dxf>
          </x14:cfRule>
          <xm:sqref>BE20:BE47 BE49:BE56 BE80:BE94</xm:sqref>
        </x14:conditionalFormatting>
        <x14:conditionalFormatting xmlns:xm="http://schemas.microsoft.com/office/excel/2006/main">
          <x14:cfRule type="expression" priority="498" id="{40B18245-BDA8-407F-B516-E5F0FD016D9C}">
            <xm:f>Postup!$K$21="2"</xm:f>
            <x14:dxf>
              <font>
                <color theme="1"/>
              </font>
              <fill>
                <patternFill>
                  <bgColor theme="0" tint="-0.24994659260841701"/>
                </patternFill>
              </fill>
            </x14:dxf>
          </x14:cfRule>
          <xm:sqref>BE48</xm:sqref>
        </x14:conditionalFormatting>
        <x14:conditionalFormatting xmlns:xm="http://schemas.microsoft.com/office/excel/2006/main">
          <x14:cfRule type="expression" priority="417" id="{F1CE1FDE-2799-48D6-8083-FD6F491A9193}">
            <xm:f>Postup!$K$21="2"</xm:f>
            <x14:dxf>
              <font>
                <color theme="1"/>
              </font>
              <fill>
                <patternFill>
                  <bgColor theme="0" tint="-0.24994659260841701"/>
                </patternFill>
              </fill>
            </x14:dxf>
          </x14:cfRule>
          <xm:sqref>BE66</xm:sqref>
        </x14:conditionalFormatting>
        <x14:conditionalFormatting xmlns:xm="http://schemas.microsoft.com/office/excel/2006/main">
          <x14:cfRule type="expression" priority="400" id="{DD1EEAA2-6ED7-4A30-8296-B1AE7D36B9F5}">
            <xm:f>Postup!$K$21="2"</xm:f>
            <x14:dxf>
              <fill>
                <patternFill>
                  <bgColor theme="0" tint="-0.24994659260841701"/>
                </patternFill>
              </fill>
            </x14:dxf>
          </x14:cfRule>
          <xm:sqref>BE67:BE68</xm:sqref>
        </x14:conditionalFormatting>
        <x14:conditionalFormatting xmlns:xm="http://schemas.microsoft.com/office/excel/2006/main">
          <x14:cfRule type="expression" priority="406" id="{42432093-43DB-408A-B016-26064D6CAACC}">
            <xm:f>Postup!$K$21="2"</xm:f>
            <x14:dxf>
              <font>
                <color theme="1"/>
              </font>
              <fill>
                <patternFill>
                  <bgColor theme="0" tint="-0.24994659260841701"/>
                </patternFill>
              </fill>
            </x14:dxf>
          </x14:cfRule>
          <xm:sqref>BE73</xm:sqref>
        </x14:conditionalFormatting>
        <x14:conditionalFormatting xmlns:xm="http://schemas.microsoft.com/office/excel/2006/main">
          <x14:cfRule type="expression" priority="397" id="{D5C560BE-D1FF-4343-A8B2-4BF45C14DFDD}">
            <xm:f>Postup!$K$21="2"</xm:f>
            <x14:dxf>
              <fill>
                <patternFill>
                  <bgColor theme="0" tint="-0.24994659260841701"/>
                </patternFill>
              </fill>
            </x14:dxf>
          </x14:cfRule>
          <xm:sqref>BE74</xm:sqref>
        </x14:conditionalFormatting>
        <x14:conditionalFormatting xmlns:xm="http://schemas.microsoft.com/office/excel/2006/main">
          <x14:cfRule type="expression" priority="3308" id="{5849BFA7-B3D8-451A-B453-90612312456B}">
            <xm:f>Postup!$K$21="1"</xm:f>
            <x14:dxf>
              <font>
                <color theme="1"/>
              </font>
              <fill>
                <patternFill>
                  <bgColor theme="0" tint="-0.24994659260841701"/>
                </patternFill>
              </fill>
            </x14:dxf>
          </x14:cfRule>
          <xm:sqref>BF20:BF47 BF49:BF56 BF80 BF82:BF94</xm:sqref>
        </x14:conditionalFormatting>
        <x14:conditionalFormatting xmlns:xm="http://schemas.microsoft.com/office/excel/2006/main">
          <x14:cfRule type="expression" priority="499" id="{8EE39AC0-025E-4BFD-8C17-B6097BECFF3D}">
            <xm:f>Postup!$K$21="1"</xm:f>
            <x14:dxf>
              <font>
                <color theme="1"/>
              </font>
              <fill>
                <patternFill>
                  <bgColor theme="0" tint="-0.24994659260841701"/>
                </patternFill>
              </fill>
            </x14:dxf>
          </x14:cfRule>
          <xm:sqref>BF48</xm:sqref>
        </x14:conditionalFormatting>
        <x14:conditionalFormatting xmlns:xm="http://schemas.microsoft.com/office/excel/2006/main">
          <x14:cfRule type="expression" priority="415" id="{7B5B03EF-947A-4302-9101-30667671A473}">
            <xm:f>Postup!$K$21="1"</xm:f>
            <x14:dxf>
              <font>
                <color theme="1"/>
              </font>
              <fill>
                <patternFill>
                  <bgColor theme="0" tint="-0.24994659260841701"/>
                </patternFill>
              </fill>
            </x14:dxf>
          </x14:cfRule>
          <xm:sqref>BF66</xm:sqref>
        </x14:conditionalFormatting>
        <x14:conditionalFormatting xmlns:xm="http://schemas.microsoft.com/office/excel/2006/main">
          <x14:cfRule type="expression" priority="401" id="{D78F2A05-07D0-485E-991A-A9D49E42FBEC}">
            <xm:f>Postup!$K$21="1"</xm:f>
            <x14:dxf>
              <fill>
                <patternFill>
                  <bgColor theme="0" tint="-0.24994659260841701"/>
                </patternFill>
              </fill>
            </x14:dxf>
          </x14:cfRule>
          <xm:sqref>BF67:BF68</xm:sqref>
        </x14:conditionalFormatting>
        <x14:conditionalFormatting xmlns:xm="http://schemas.microsoft.com/office/excel/2006/main">
          <x14:cfRule type="expression" priority="404" id="{DF12A412-1FE1-4355-A4D2-B3D5ADAF61FB}">
            <xm:f>Postup!$K$21="1"</xm:f>
            <x14:dxf>
              <font>
                <color theme="1"/>
              </font>
              <fill>
                <patternFill>
                  <bgColor theme="0" tint="-0.24994659260841701"/>
                </patternFill>
              </fill>
            </x14:dxf>
          </x14:cfRule>
          <xm:sqref>BF73</xm:sqref>
        </x14:conditionalFormatting>
        <x14:conditionalFormatting xmlns:xm="http://schemas.microsoft.com/office/excel/2006/main">
          <x14:cfRule type="expression" priority="398" id="{0F8047D7-4928-4FE3-910D-7EFBE85E9944}">
            <xm:f>Postup!$K$21="1"</xm:f>
            <x14:dxf>
              <fill>
                <patternFill>
                  <bgColor theme="0" tint="-0.24994659260841701"/>
                </patternFill>
              </fill>
            </x14:dxf>
          </x14:cfRule>
          <xm:sqref>BF74</xm:sqref>
        </x14:conditionalFormatting>
        <x14:conditionalFormatting xmlns:xm="http://schemas.microsoft.com/office/excel/2006/main">
          <x14:cfRule type="expression" priority="471" id="{1DF9CA39-5A2E-43B8-A027-2231D880E3F9}">
            <xm:f>Postup!$K$21="2"</xm:f>
            <x14:dxf>
              <font>
                <color theme="1"/>
              </font>
              <fill>
                <patternFill>
                  <bgColor theme="0" tint="-0.24994659260841701"/>
                </patternFill>
              </fill>
            </x14:dxf>
          </x14:cfRule>
          <xm:sqref>BH20:BH56</xm:sqref>
        </x14:conditionalFormatting>
        <x14:conditionalFormatting xmlns:xm="http://schemas.microsoft.com/office/excel/2006/main">
          <x14:cfRule type="expression" priority="848" id="{F6487D56-146D-401C-BFEB-948E7F7218E3}">
            <xm:f>Postup!$K$21="2"</xm:f>
            <x14:dxf>
              <font>
                <color theme="1"/>
              </font>
              <fill>
                <patternFill>
                  <bgColor theme="0" tint="-0.24994659260841701"/>
                </patternFill>
              </fill>
            </x14:dxf>
          </x14:cfRule>
          <xm:sqref>BH66 BH73 BC66 BC73 AX66 AX73 AS66 AS73 AN66 AN73 AI66 AI73 AD66 AD73 Y66 Y73 T66 T73 O66 O73 E66 E73 E80:E94 E37:E56</xm:sqref>
        </x14:conditionalFormatting>
        <x14:conditionalFormatting xmlns:xm="http://schemas.microsoft.com/office/excel/2006/main">
          <x14:cfRule type="expression" priority="885" id="{0DA09D19-9CFA-45D8-8468-661D4AAF9BA9}">
            <xm:f>Postup!$K$21="2"</xm:f>
            <x14:dxf>
              <font>
                <color theme="1"/>
              </font>
              <fill>
                <patternFill>
                  <bgColor theme="0" tint="-0.24994659260841701"/>
                </patternFill>
              </fill>
            </x14:dxf>
          </x14:cfRule>
          <xm:sqref>BH80:BH94 BH97</xm:sqref>
        </x14:conditionalFormatting>
        <x14:conditionalFormatting xmlns:xm="http://schemas.microsoft.com/office/excel/2006/main">
          <x14:cfRule type="expression" priority="468" id="{5070D1C1-BEE3-49C9-B37C-08793A4CBFDC}">
            <xm:f>$BH$18&gt;Postup!$J$25</xm:f>
            <x14:dxf>
              <font>
                <color theme="1"/>
              </font>
              <fill>
                <patternFill>
                  <bgColor theme="0" tint="-0.24994659260841701"/>
                </patternFill>
              </fill>
            </x14:dxf>
          </x14:cfRule>
          <xm:sqref>BH18:BI56</xm:sqref>
        </x14:conditionalFormatting>
        <x14:conditionalFormatting xmlns:xm="http://schemas.microsoft.com/office/excel/2006/main">
          <x14:cfRule type="expression" priority="92" id="{4E8B9000-348D-4749-B8FF-22D5FB115136}">
            <xm:f>$BH$18&gt;Postup!$J$25</xm:f>
            <x14:dxf>
              <font>
                <color auto="1"/>
              </font>
              <fill>
                <patternFill>
                  <bgColor theme="0" tint="-0.24994659260841701"/>
                </patternFill>
              </fill>
            </x14:dxf>
          </x14:cfRule>
          <xm:sqref>BH66:BI74</xm:sqref>
        </x14:conditionalFormatting>
        <x14:conditionalFormatting xmlns:xm="http://schemas.microsoft.com/office/excel/2006/main">
          <x14:cfRule type="expression" priority="575" id="{B7DCC6F9-97B9-4FA5-BF9A-6F9C2CFE4B52}">
            <xm:f>$O$18&gt;Postup!$J$25</xm:f>
            <x14:dxf>
              <font>
                <color theme="1"/>
              </font>
              <fill>
                <patternFill>
                  <bgColor theme="0" tint="-0.24994659260841701"/>
                </patternFill>
              </fill>
            </x14:dxf>
          </x14:cfRule>
          <xm:sqref>BH79:BI79</xm:sqref>
        </x14:conditionalFormatting>
        <x14:conditionalFormatting xmlns:xm="http://schemas.microsoft.com/office/excel/2006/main">
          <x14:cfRule type="expression" priority="864" id="{B6C7E879-2CCF-4A2F-897D-9D85A648E024}">
            <xm:f>$BH$18&gt;Postup!$J$25</xm:f>
            <x14:dxf>
              <font>
                <color theme="1"/>
              </font>
              <fill>
                <patternFill>
                  <bgColor theme="0" tint="-0.24994659260841701"/>
                </patternFill>
              </fill>
            </x14:dxf>
          </x14:cfRule>
          <xm:sqref>BH82:BI94 BJ16:BK16 BH80:BI80 BH81 BH97:BI97</xm:sqref>
        </x14:conditionalFormatting>
        <x14:conditionalFormatting xmlns:xm="http://schemas.microsoft.com/office/excel/2006/main">
          <x14:cfRule type="expression" priority="491" id="{73CAD90B-4260-4DEA-AB3F-FAAB545A914A}">
            <xm:f>AND(DAY(Postup!$H$24)=1,MONTH(Postup!$H$24)=1)</xm:f>
            <x14:dxf>
              <font>
                <color theme="1"/>
              </font>
              <fill>
                <patternFill>
                  <bgColor theme="0" tint="-0.24994659260841701"/>
                </patternFill>
              </fill>
            </x14:dxf>
          </x14:cfRule>
          <xm:sqref>BH48:BK48</xm:sqref>
        </x14:conditionalFormatting>
        <x14:conditionalFormatting xmlns:xm="http://schemas.microsoft.com/office/excel/2006/main">
          <x14:cfRule type="expression" priority="469" id="{B456D827-A5DC-4C9B-8759-45A8BBDA76C8}">
            <xm:f>Postup!$K$21="1"</xm:f>
            <x14:dxf>
              <font>
                <color theme="1"/>
              </font>
              <fill>
                <patternFill>
                  <bgColor theme="0" tint="-0.24994659260841701"/>
                </patternFill>
              </fill>
            </x14:dxf>
          </x14:cfRule>
          <xm:sqref>BI20:BI56</xm:sqref>
        </x14:conditionalFormatting>
        <x14:conditionalFormatting xmlns:xm="http://schemas.microsoft.com/office/excel/2006/main">
          <x14:cfRule type="expression" priority="905" id="{F83995F2-A6DA-43D2-8329-EFDE2D148EDB}">
            <xm:f>Postup!$K$21="1"</xm:f>
            <x14:dxf>
              <font>
                <color theme="1"/>
              </font>
              <fill>
                <patternFill>
                  <bgColor theme="0" tint="-0.24994659260841701"/>
                </patternFill>
              </fill>
            </x14:dxf>
          </x14:cfRule>
          <xm:sqref>BI66 BI73 BD66 BD73 AY66 AY73 AT66 AT73 AO66 AO73 AJ66 AJ73 AE66 AE73 Z66 Z73 U66 U73 P66 P73 F66:F68 F73:F74 F82:F94 F20:F35 F37:F56 F80 F102:F103</xm:sqref>
        </x14:conditionalFormatting>
        <x14:conditionalFormatting xmlns:xm="http://schemas.microsoft.com/office/excel/2006/main">
          <x14:cfRule type="expression" priority="875" id="{1F2F74A8-AB8F-42FA-8AB4-6CBA554A48F4}">
            <xm:f>Postup!$K$21="1"</xm:f>
            <x14:dxf>
              <font>
                <color theme="1"/>
              </font>
              <fill>
                <patternFill>
                  <bgColor theme="0" tint="-0.24994659260841701"/>
                </patternFill>
              </fill>
            </x14:dxf>
          </x14:cfRule>
          <xm:sqref>BI82:BI94 BI80 BI97</xm:sqref>
        </x14:conditionalFormatting>
        <x14:conditionalFormatting xmlns:xm="http://schemas.microsoft.com/office/excel/2006/main">
          <x14:cfRule type="expression" priority="467" id="{55EAB6C9-D79F-4407-B485-654204DD419D}">
            <xm:f>Postup!$K$21="2"</xm:f>
            <x14:dxf>
              <font>
                <color theme="1"/>
              </font>
              <fill>
                <patternFill>
                  <bgColor theme="0" tint="-0.24994659260841701"/>
                </patternFill>
              </fill>
            </x14:dxf>
          </x14:cfRule>
          <xm:sqref>BJ20:BJ36</xm:sqref>
        </x14:conditionalFormatting>
        <x14:conditionalFormatting xmlns:xm="http://schemas.microsoft.com/office/excel/2006/main">
          <x14:cfRule type="expression" priority="937" id="{DE3C6EB6-78FD-4896-8133-CDAC2E2E399F}">
            <xm:f>Postup!$K$21="2"</xm:f>
            <x14:dxf>
              <font>
                <color theme="1"/>
              </font>
              <fill>
                <patternFill>
                  <bgColor theme="0" tint="-0.24994659260841701"/>
                </patternFill>
              </fill>
            </x14:dxf>
          </x14:cfRule>
          <xm:sqref>BJ37:BJ47 BJ49:BJ56 BJ80:BJ94</xm:sqref>
        </x14:conditionalFormatting>
        <x14:conditionalFormatting xmlns:xm="http://schemas.microsoft.com/office/excel/2006/main">
          <x14:cfRule type="expression" priority="492" id="{53907B91-85A0-4CAA-BA7C-931E07F22A2B}">
            <xm:f>Postup!$K$21="2"</xm:f>
            <x14:dxf>
              <font>
                <color theme="1"/>
              </font>
              <fill>
                <patternFill>
                  <bgColor theme="0" tint="-0.24994659260841701"/>
                </patternFill>
              </fill>
            </x14:dxf>
          </x14:cfRule>
          <xm:sqref>BJ48</xm:sqref>
        </x14:conditionalFormatting>
        <x14:conditionalFormatting xmlns:xm="http://schemas.microsoft.com/office/excel/2006/main">
          <x14:cfRule type="expression" priority="413" id="{FD949732-797C-4815-A108-C1A25ECAD541}">
            <xm:f>Postup!$K$21="2"</xm:f>
            <x14:dxf>
              <font>
                <color theme="1"/>
              </font>
              <fill>
                <patternFill>
                  <bgColor theme="0" tint="-0.24994659260841701"/>
                </patternFill>
              </fill>
            </x14:dxf>
          </x14:cfRule>
          <xm:sqref>BJ66</xm:sqref>
        </x14:conditionalFormatting>
        <x14:conditionalFormatting xmlns:xm="http://schemas.microsoft.com/office/excel/2006/main">
          <x14:cfRule type="expression" priority="387" id="{D8A4DB1F-F613-459E-805C-A6563F568758}">
            <xm:f>Postup!$K$21="2"</xm:f>
            <x14:dxf>
              <fill>
                <patternFill>
                  <bgColor theme="0" tint="-0.24994659260841701"/>
                </patternFill>
              </fill>
            </x14:dxf>
          </x14:cfRule>
          <xm:sqref>BJ67:BJ68</xm:sqref>
        </x14:conditionalFormatting>
        <x14:conditionalFormatting xmlns:xm="http://schemas.microsoft.com/office/excel/2006/main">
          <x14:cfRule type="expression" priority="396" id="{DCACA4D0-90DF-4D2C-AE81-B6347591C00D}">
            <xm:f>Postup!$K$21="2"</xm:f>
            <x14:dxf>
              <font>
                <color theme="1"/>
              </font>
              <fill>
                <patternFill>
                  <bgColor theme="0" tint="-0.24994659260841701"/>
                </patternFill>
              </fill>
            </x14:dxf>
          </x14:cfRule>
          <xm:sqref>BJ73</xm:sqref>
        </x14:conditionalFormatting>
        <x14:conditionalFormatting xmlns:xm="http://schemas.microsoft.com/office/excel/2006/main">
          <x14:cfRule type="expression" priority="383" id="{427DB543-BCA0-43BB-BFE5-31828F916712}">
            <xm:f>Postup!$K$21="2"</xm:f>
            <x14:dxf>
              <fill>
                <patternFill>
                  <bgColor theme="0" tint="-0.24994659260841701"/>
                </patternFill>
              </fill>
            </x14:dxf>
          </x14:cfRule>
          <xm:sqref>BJ74</xm:sqref>
        </x14:conditionalFormatting>
        <x14:conditionalFormatting xmlns:xm="http://schemas.microsoft.com/office/excel/2006/main">
          <x14:cfRule type="expression" priority="465" id="{C6F120C7-4DD6-45CF-8108-6456434CF909}">
            <xm:f>Postup!$K$21="1"</xm:f>
            <x14:dxf>
              <font>
                <color theme="1"/>
              </font>
              <fill>
                <patternFill>
                  <bgColor theme="0" tint="-0.24994659260841701"/>
                </patternFill>
              </fill>
            </x14:dxf>
          </x14:cfRule>
          <xm:sqref>BK20:BK36</xm:sqref>
        </x14:conditionalFormatting>
        <x14:conditionalFormatting xmlns:xm="http://schemas.microsoft.com/office/excel/2006/main">
          <x14:cfRule type="expression" priority="3307" id="{9AE8D186-0906-47C4-A37E-D919A66E4BD3}">
            <xm:f>Postup!$K$21="1"</xm:f>
            <x14:dxf>
              <font>
                <color theme="1"/>
              </font>
              <fill>
                <patternFill>
                  <bgColor theme="0" tint="-0.24994659260841701"/>
                </patternFill>
              </fill>
            </x14:dxf>
          </x14:cfRule>
          <xm:sqref>BK37:BK47 BK49:BK56 BK80 BK82:BK94</xm:sqref>
        </x14:conditionalFormatting>
        <x14:conditionalFormatting xmlns:xm="http://schemas.microsoft.com/office/excel/2006/main">
          <x14:cfRule type="expression" priority="493" id="{7247B20A-3D1B-497B-92B7-EE09353E8D0D}">
            <xm:f>Postup!$K$21="1"</xm:f>
            <x14:dxf>
              <font>
                <color theme="1"/>
              </font>
              <fill>
                <patternFill>
                  <bgColor theme="0" tint="-0.24994659260841701"/>
                </patternFill>
              </fill>
            </x14:dxf>
          </x14:cfRule>
          <xm:sqref>BK48</xm:sqref>
        </x14:conditionalFormatting>
        <x14:conditionalFormatting xmlns:xm="http://schemas.microsoft.com/office/excel/2006/main">
          <x14:cfRule type="expression" priority="411" id="{CFD9763A-E06E-4833-B267-558160D6A856}">
            <xm:f>Postup!$K$21="1"</xm:f>
            <x14:dxf>
              <font>
                <color theme="1"/>
              </font>
              <fill>
                <patternFill>
                  <bgColor theme="0" tint="-0.24994659260841701"/>
                </patternFill>
              </fill>
            </x14:dxf>
          </x14:cfRule>
          <xm:sqref>BK66</xm:sqref>
        </x14:conditionalFormatting>
        <x14:conditionalFormatting xmlns:xm="http://schemas.microsoft.com/office/excel/2006/main">
          <x14:cfRule type="expression" priority="388" id="{645BEA54-F7B7-4559-963D-064C1786FD46}">
            <xm:f>Postup!$K$21="1"</xm:f>
            <x14:dxf>
              <fill>
                <patternFill>
                  <bgColor theme="0" tint="-0.24994659260841701"/>
                </patternFill>
              </fill>
            </x14:dxf>
          </x14:cfRule>
          <xm:sqref>BK67:BK68</xm:sqref>
        </x14:conditionalFormatting>
        <x14:conditionalFormatting xmlns:xm="http://schemas.microsoft.com/office/excel/2006/main">
          <x14:cfRule type="expression" priority="394" id="{9CB3F7DA-43F1-48B7-A474-4B749F8D2E8F}">
            <xm:f>Postup!$K$21="1"</xm:f>
            <x14:dxf>
              <font>
                <color theme="1"/>
              </font>
              <fill>
                <patternFill>
                  <bgColor theme="0" tint="-0.24994659260841701"/>
                </patternFill>
              </fill>
            </x14:dxf>
          </x14:cfRule>
          <xm:sqref>BK73</xm:sqref>
        </x14:conditionalFormatting>
        <x14:conditionalFormatting xmlns:xm="http://schemas.microsoft.com/office/excel/2006/main">
          <x14:cfRule type="expression" priority="384" id="{1E1434FE-40C4-48D2-9859-5C5778DF98E2}">
            <xm:f>Postup!$K$21="1"</xm:f>
            <x14:dxf>
              <fill>
                <patternFill>
                  <bgColor theme="0" tint="-0.24994659260841701"/>
                </patternFill>
              </fill>
            </x14:dxf>
          </x14:cfRule>
          <xm:sqref>BK74</xm:sqref>
        </x14:conditionalFormatting>
        <x14:conditionalFormatting xmlns:xm="http://schemas.microsoft.com/office/excel/2006/main">
          <x14:cfRule type="expression" priority="463" id="{ACF93D99-9ADC-4972-9B9B-2DC6C93E25C5}">
            <xm:f>Postup!$K$21="2"</xm:f>
            <x14:dxf>
              <font>
                <color theme="1"/>
              </font>
              <fill>
                <patternFill>
                  <bgColor theme="0" tint="-0.24994659260841701"/>
                </patternFill>
              </fill>
            </x14:dxf>
          </x14:cfRule>
          <xm:sqref>BL20:BL56</xm:sqref>
        </x14:conditionalFormatting>
        <x14:conditionalFormatting xmlns:xm="http://schemas.microsoft.com/office/excel/2006/main">
          <x14:cfRule type="expression" priority="3781" id="{ADEDFDD8-B6F7-4015-A188-11D10DDF1DA9}">
            <xm:f>Postup!$K$21="2"</xm:f>
            <x14:dxf>
              <font>
                <color theme="1"/>
              </font>
              <fill>
                <patternFill>
                  <bgColor theme="0" tint="-0.24994659260841701"/>
                </patternFill>
              </fill>
            </x14:dxf>
          </x14:cfRule>
          <xm:sqref>BL66:BL74 BL80:BL94</xm:sqref>
        </x14:conditionalFormatting>
        <x14:conditionalFormatting xmlns:xm="http://schemas.microsoft.com/office/excel/2006/main">
          <x14:cfRule type="expression" priority="460" id="{9DB1E184-ABFD-432B-B2C0-92CE824E9798}">
            <xm:f>AND(DAY(Postup!$H$25)=31,MONTH(Postup!$H$25)=12)</xm:f>
            <x14:dxf>
              <font>
                <color theme="1"/>
              </font>
              <fill>
                <patternFill>
                  <bgColor theme="0" tint="-0.24994659260841701"/>
                </patternFill>
              </fill>
            </x14:dxf>
          </x14:cfRule>
          <xm:sqref>BL18:BM47</xm:sqref>
        </x14:conditionalFormatting>
        <x14:conditionalFormatting xmlns:xm="http://schemas.microsoft.com/office/excel/2006/main">
          <x14:cfRule type="expression" priority="488" id="{C429A0C0-A8E5-4F88-BBA1-5B418609696F}">
            <xm:f>AND(DAY(Postup!$H$25)=1,MONTH(Postup!$H$25)=1)</xm:f>
            <x14:dxf>
              <font>
                <color theme="1"/>
              </font>
              <fill>
                <patternFill>
                  <bgColor theme="0" tint="-0.24994659260841701"/>
                </patternFill>
              </fill>
            </x14:dxf>
          </x14:cfRule>
          <xm:sqref>BL63:BM74 BL79:BM94 BL18:BM56</xm:sqref>
        </x14:conditionalFormatting>
        <x14:conditionalFormatting xmlns:xm="http://schemas.microsoft.com/office/excel/2006/main">
          <x14:cfRule type="expression" priority="906" id="{15371BAB-473E-475E-83E0-5ADCD83FB2D6}">
            <xm:f>AND(DAY(Postup!$H$25)=31,MONTH(Postup!$H$25)=12)</xm:f>
            <x14:dxf>
              <font>
                <color theme="1"/>
              </font>
              <fill>
                <patternFill>
                  <bgColor theme="0" tint="-0.24994659260841701"/>
                </patternFill>
              </fill>
            </x14:dxf>
          </x14:cfRule>
          <xm:sqref>BL63:BM74 BL82:BM94 BL49:BM56 BL79:BM80 BL81</xm:sqref>
        </x14:conditionalFormatting>
        <x14:conditionalFormatting xmlns:xm="http://schemas.microsoft.com/office/excel/2006/main">
          <x14:cfRule type="expression" priority="461" id="{55D23213-19D0-4383-90A0-8CE7C69B7C0A}">
            <xm:f>Postup!$K$21="1"</xm:f>
            <x14:dxf>
              <font>
                <color theme="1"/>
              </font>
              <fill>
                <patternFill>
                  <bgColor theme="0" tint="-0.24994659260841701"/>
                </patternFill>
              </fill>
            </x14:dxf>
          </x14:cfRule>
          <xm:sqref>BM20:BM56</xm:sqref>
        </x14:conditionalFormatting>
        <x14:conditionalFormatting xmlns:xm="http://schemas.microsoft.com/office/excel/2006/main">
          <x14:cfRule type="expression" priority="3783" id="{C89C941D-BB1D-4569-B5B8-1967A6D65266}">
            <xm:f>Postup!$K$21="1"</xm:f>
            <x14:dxf>
              <font>
                <color theme="1"/>
              </font>
              <fill>
                <patternFill>
                  <bgColor theme="0" tint="-0.24994659260841701"/>
                </patternFill>
              </fill>
            </x14:dxf>
          </x14:cfRule>
          <xm:sqref>BM66:BM74 BM82:BM94 BM80</xm:sqref>
        </x14:conditionalFormatting>
      </x14:conditionalFormattings>
    </ext>
    <ext xmlns:x14="http://schemas.microsoft.com/office/spreadsheetml/2009/9/main" uri="{CCE6A557-97BC-4b89-ADB6-D9C93CAAB3DF}">
      <x14:dataValidations xmlns:xm="http://schemas.microsoft.com/office/excel/2006/main" count="68">
        <x14:dataValidation type="list" allowBlank="1" showInputMessage="1" showErrorMessage="1" xr:uid="{00000000-0002-0000-0300-000005000000}">
          <x14:formula1>
            <xm:f>Výpočty!$B$39:$B$40</xm:f>
          </x14:formula1>
          <xm:sqref>BE16:BF16 BJ16:BK16 I16:J16 Q16:R16 V16:W16 AA16:AB16 AF16:AG16 AK16:AL16 AP16:AQ16 AU16:AV16 AZ16:BA16</xm:sqref>
        </x14:dataValidation>
        <x14:dataValidation type="list" allowBlank="1" showInputMessage="1" showErrorMessage="1" xr:uid="{00000000-0002-0000-0300-000006000000}">
          <x14:formula1>
            <xm:f>Výpočty!$B$30:$B$36</xm:f>
          </x14:formula1>
          <xm:sqref>K25:M26 K28:M29 K40:M45 K35:M37 K31:M32</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7000000}">
          <x14:formula1>
            <xm:f>Postup!$F$40*N35</xm:f>
          </x14:formula1>
          <xm:sqref>O35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8000000}">
          <x14:formula1>
            <xm:f>Postup!$F$41*N35</xm:f>
          </x14:formula1>
          <xm:sqref>P35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9000000}">
          <x14:formula1>
            <xm:f>Postup!$G$41*S35</xm:f>
          </x14:formula1>
          <xm:sqref>U35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A000000}">
          <x14:formula1>
            <xm:f>Postup!$H$41*X35</xm:f>
          </x14:formula1>
          <xm:sqref>Z35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B000000}">
          <x14:formula1>
            <xm:f>Postup!$I$41*AC35</xm:f>
          </x14:formula1>
          <xm:sqref>AE35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C000000}">
          <x14:formula1>
            <xm:f>Postup!$J$41*AH35</xm:f>
          </x14:formula1>
          <xm:sqref>AJ35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D000000}">
          <x14:formula1>
            <xm:f>Postup!$K$41*AM35</xm:f>
          </x14:formula1>
          <xm:sqref>AO35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E000000}">
          <x14:formula1>
            <xm:f>Postup!$L$41*AR35</xm:f>
          </x14:formula1>
          <xm:sqref>AT35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F000000}">
          <x14:formula1>
            <xm:f>Postup!$M$41*AW35</xm:f>
          </x14:formula1>
          <xm:sqref>AY35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0000000}">
          <x14:formula1>
            <xm:f>Postup!$N$41*BB35</xm:f>
          </x14:formula1>
          <xm:sqref>BD35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1000000}">
          <x14:formula1>
            <xm:f>Postup!$O$41*BG35</xm:f>
          </x14:formula1>
          <xm:sqref>BI35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2000000}">
          <x14:formula1>
            <xm:f>Postup!E40</xm:f>
          </x14:formula1>
          <xm:sqref>E35</xm:sqref>
        </x14:dataValidation>
        <x14:dataValidation type="decimal" errorStyle="warning" operator="lessThanOrEqual" allowBlank="1" showInputMessage="1" showErrorMessage="1" error="Obnovující opravy jsou nižší než jsou obnovující opravy uvedené na listu Postup - může být vloženo pouze se souhlasem SFŽP." xr:uid="{00000000-0002-0000-0300-000013000000}">
          <x14:formula1>
            <xm:f>Postup!E41</xm:f>
          </x14:formula1>
          <xm:sqref>F35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4000000}">
          <x14:formula1>
            <xm:f>Postup!$G40*S35</xm:f>
          </x14:formula1>
          <xm:sqref>T35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5000000}">
          <x14:formula1>
            <xm:f>Postup!$H40*X35</xm:f>
          </x14:formula1>
          <xm:sqref>Y35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6000000}">
          <x14:formula1>
            <xm:f>Postup!$I40*AD35</xm:f>
          </x14:formula1>
          <xm:sqref>AD35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7000000}">
          <x14:formula1>
            <xm:f>Postup!$J40*AH35</xm:f>
          </x14:formula1>
          <xm:sqref>AI35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8000000}">
          <x14:formula1>
            <xm:f>Postup!$K40*AM35</xm:f>
          </x14:formula1>
          <xm:sqref>AN35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9000000}">
          <x14:formula1>
            <xm:f>Postup!$L40*AR35</xm:f>
          </x14:formula1>
          <xm:sqref>AS35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A000000}">
          <x14:formula1>
            <xm:f>Postup!$M40*AW35</xm:f>
          </x14:formula1>
          <xm:sqref>AX35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B000000}">
          <x14:formula1>
            <xm:f>Postup!$N40*BB35</xm:f>
          </x14:formula1>
          <xm:sqref>BC35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C000000}">
          <x14:formula1>
            <xm:f>Postup!$O40*BG35</xm:f>
          </x14:formula1>
          <xm:sqref>BH35</xm:sqref>
        </x14:dataValidation>
        <x14:dataValidation type="decimal" errorStyle="warning" operator="greaterThanOrEqual" allowBlank="1" showInputMessage="1" showErrorMessage="1" error="Nájemné nižší, než minimální prostředky na obnovu, uvedené na listu Postup, může být vloženo pouze se souhlasem SFŽP ČR." xr:uid="{00000000-0002-0000-0300-00001D000000}">
          <x14:formula1>
            <xm:f>Postup!E33</xm:f>
          </x14:formula1>
          <xm:sqref>F37</xm:sqref>
        </x14:dataValidation>
        <x14:dataValidation type="decimal" errorStyle="warning" operator="greaterThanOrEqual" allowBlank="1" showInputMessage="1" showErrorMessage="1" error="Nájemné nižší, než minimální prostředky na obnovu, uvedené na listu Postup, může být vloženo pouze se souhlasem SFŽP ČR." xr:uid="{00000000-0002-0000-0300-00001E000000}">
          <x14:formula1>
            <xm:f>Postup!F33*N36</xm:f>
          </x14:formula1>
          <xm:sqref>P37</xm:sqref>
        </x14:dataValidation>
        <x14:dataValidation type="decimal" errorStyle="warning" operator="greaterThanOrEqual" allowBlank="1" showInputMessage="1" showErrorMessage="1" error="Nájemné nižší, než minimální prostředky na obnovu, uvedené na listu Postup, může být vloženo pouze se souhlasem SFŽP ČR." xr:uid="{00000000-0002-0000-0300-00001F000000}">
          <x14:formula1>
            <xm:f>Postup!AP33*BB36</xm:f>
          </x14:formula1>
          <xm:sqref>BD37</xm:sqref>
        </x14:dataValidation>
        <x14:dataValidation type="decimal" errorStyle="warning" operator="greaterThanOrEqual" allowBlank="1" showInputMessage="1" showErrorMessage="1" error="Nájemné nižší, než minimální prostředky na obnovu, uvedené na listu Postup, může být vloženo pouze se souhlasem SFŽP ČR." xr:uid="{00000000-0002-0000-0300-000020000000}">
          <x14:formula1>
            <xm:f>Postup!O33*BG36</xm:f>
          </x14:formula1>
          <xm:sqref>BI37</xm:sqref>
        </x14:dataValidation>
        <x14:dataValidation type="decimal" operator="lessThanOrEqual" allowBlank="1" showInputMessage="1" showErrorMessage="1" error="Nelze, aby byla hodnota Uplatňovaného zisku provozovatele vyšší, než je uvedeno v Nabídce." xr:uid="{00000000-0002-0000-0300-000021000000}">
          <x14:formula1>
            <xm:f>Nabídka!F66</xm:f>
          </x14:formula1>
          <xm:sqref>F73</xm:sqref>
        </x14:dataValidation>
        <x14:dataValidation type="decimal" operator="lessThanOrEqual" allowBlank="1" showInputMessage="1" showErrorMessage="1" error="Nelze, aby byla hodnota Uplatňovaného zisku provozovatele vyšší, než je uvedeno v Nabídce." xr:uid="{00000000-0002-0000-0300-000022000000}">
          <x14:formula1>
            <xm:f>Nabídka!E66</xm:f>
          </x14:formula1>
          <xm:sqref>O73:P73</xm:sqref>
        </x14:dataValidation>
        <x14:dataValidation type="decimal" operator="lessThanOrEqual" allowBlank="1" showInputMessage="1" showErrorMessage="1" error="Nelze, aby byla hodnota Uplatňovaného zisku provozovatele vyšší, než je uvedeno v Nabídce." xr:uid="{00000000-0002-0000-0300-000023000000}">
          <x14:formula1>
            <xm:f>Nabídka!E66</xm:f>
          </x14:formula1>
          <xm:sqref>T73:U73</xm:sqref>
        </x14:dataValidation>
        <x14:dataValidation type="decimal" operator="lessThanOrEqual" allowBlank="1" showInputMessage="1" showErrorMessage="1" error="Nelze, aby byla hodnota Uplatňovaného zisku provozovatele vyšší, než je uvedeno v Nabídce." xr:uid="{00000000-0002-0000-0300-000024000000}">
          <x14:formula1>
            <xm:f>Nabídka!E66</xm:f>
          </x14:formula1>
          <xm:sqref>Y73:Z73</xm:sqref>
        </x14:dataValidation>
        <x14:dataValidation type="decimal" operator="lessThanOrEqual" allowBlank="1" showInputMessage="1" showErrorMessage="1" error="Nelze, aby byla hodnota Uplatňovaného zisku provozovatele vyšší, než je uvedeno v Nabídce." xr:uid="{00000000-0002-0000-0300-000025000000}">
          <x14:formula1>
            <xm:f>Nabídka!E66</xm:f>
          </x14:formula1>
          <xm:sqref>AD73:AE73</xm:sqref>
        </x14:dataValidation>
        <x14:dataValidation type="decimal" operator="lessThanOrEqual" allowBlank="1" showInputMessage="1" showErrorMessage="1" error="Nelze, aby byla hodnota Uplatňovaného zisku provozovatele vyšší, než je uvedeno v Nabídce." xr:uid="{00000000-0002-0000-0300-000026000000}">
          <x14:formula1>
            <xm:f>Nabídka!E66</xm:f>
          </x14:formula1>
          <xm:sqref>AS73:AT73</xm:sqref>
        </x14:dataValidation>
        <x14:dataValidation type="decimal" operator="lessThanOrEqual" allowBlank="1" showInputMessage="1" showErrorMessage="1" error="Nelze, aby byla hodnota Uplatňovaného zisku provozovatele vyšší, než je uvedeno v Nabídce." xr:uid="{00000000-0002-0000-0300-000027000000}">
          <x14:formula1>
            <xm:f>Nabídka!E66</xm:f>
          </x14:formula1>
          <xm:sqref>AX73:AY73</xm:sqref>
        </x14:dataValidation>
        <x14:dataValidation type="decimal" operator="lessThanOrEqual" allowBlank="1" showInputMessage="1" showErrorMessage="1" error="Nelze, aby byla hodnota Uplatňovaného zisku provozovatele vyšší, než je uvedeno v Nabídce." xr:uid="{00000000-0002-0000-0300-000028000000}">
          <x14:formula1>
            <xm:f>Nabídka!E66</xm:f>
          </x14:formula1>
          <xm:sqref>BC73:BD73</xm:sqref>
        </x14:dataValidation>
        <x14:dataValidation type="decimal" operator="lessThanOrEqual" allowBlank="1" showInputMessage="1" showErrorMessage="1" error="Nelze, aby byla hodnota Uplatňovaného zisku provozovatele vyšší, než je uvedeno v Nabídce." xr:uid="{00000000-0002-0000-0300-000029000000}">
          <x14:formula1>
            <xm:f>Nabídka!E66</xm:f>
          </x14:formula1>
          <xm:sqref>BH73:BI73</xm:sqref>
        </x14:dataValidation>
        <x14:dataValidation type="decimal" operator="lessThanOrEqual" allowBlank="1" showInputMessage="1" showErrorMessage="1" error="Nelze, aby byla hodnota Uplatňovaného zisku provozovatele vyšší, než je uvedeno v Nabídce." xr:uid="{00000000-0002-0000-0300-00002A000000}">
          <x14:formula1>
            <xm:f>Nabídka!E66</xm:f>
          </x14:formula1>
          <xm:sqref>AI73:AJ73</xm:sqref>
        </x14:dataValidation>
        <x14:dataValidation type="decimal" operator="lessThanOrEqual" allowBlank="1" showInputMessage="1" showErrorMessage="1" error="Nelze, aby byla hodnota Uplatňovaného zisku provozovatele vyšší, než je uvedeno v Nabídce." xr:uid="{00000000-0002-0000-0300-00002B000000}">
          <x14:formula1>
            <xm:f>Nabídka!E66</xm:f>
          </x14:formula1>
          <xm:sqref>AN73:AO73</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2C000000}">
          <x14:formula1>
            <xm:f>Výpočty!G78</xm:f>
          </x14:formula1>
          <xm:sqref>E34:F34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2D000000}">
          <x14:formula1>
            <xm:f>Výpočty!K78</xm:f>
          </x14:formula1>
          <xm:sqref>O34:P34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2E000000}">
          <x14:formula1>
            <xm:f>Výpočty!O78</xm:f>
          </x14:formula1>
          <xm:sqref>T34:U34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2F000000}">
          <x14:formula1>
            <xm:f>Výpočty!S78</xm:f>
          </x14:formula1>
          <xm:sqref>Y34:Z34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30000000}">
          <x14:formula1>
            <xm:f>Výpočty!W78</xm:f>
          </x14:formula1>
          <xm:sqref>AD34:AE34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31000000}">
          <x14:formula1>
            <xm:f>Výpočty!AA78</xm:f>
          </x14:formula1>
          <xm:sqref>AI34:AJ34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32000000}">
          <x14:formula1>
            <xm:f>Výpočty!AE78</xm:f>
          </x14:formula1>
          <xm:sqref>AN34:AO34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33000000}">
          <x14:formula1>
            <xm:f>Výpočty!AI78</xm:f>
          </x14:formula1>
          <xm:sqref>AS34:AT34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34000000}">
          <x14:formula1>
            <xm:f>Výpočty!AM78</xm:f>
          </x14:formula1>
          <xm:sqref>AX34:AY34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35000000}">
          <x14:formula1>
            <xm:f>Výpočty!AQ78</xm:f>
          </x14:formula1>
          <xm:sqref>BC34:BD34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36000000}">
          <x14:formula1>
            <xm:f>Výpočty!AU78</xm:f>
          </x14:formula1>
          <xm:sqref>BH34:BI34</xm:sqref>
        </x14:dataValidation>
        <x14:dataValidation type="date" allowBlank="1" showInputMessage="1" showErrorMessage="1" error="Datum musí být zadáno ve tvaru DD.MM.RRRR a musí být v rozmezí Dne zahájení a konce příslušného roku, pro který je Aktualizace Kalkulace zpracovávaná." xr:uid="{00000000-0002-0000-0300-000037000000}">
          <x14:formula1>
            <xm:f>Postup!H24</xm:f>
          </x14:formula1>
          <x14:formula2>
            <xm:f>DATE(I19,12,31)</xm:f>
          </x14:formula2>
          <xm:sqref>J17</xm:sqref>
        </x14:dataValidation>
        <x14:dataValidation type="decimal" errorStyle="warning" operator="greaterThanOrEqual" allowBlank="1" showInputMessage="1" showErrorMessage="1" error="Nájemné nižší, než minimální prostředky na obnovu, uvedené na listu Postup, může být vloženo pouze se souhlasem SFŽP ČR." xr:uid="{00000000-0002-0000-0300-000038000000}">
          <x14:formula1>
            <xm:f>Postup!E31</xm:f>
          </x14:formula1>
          <xm:sqref>E37</xm:sqref>
        </x14:dataValidation>
        <x14:dataValidation type="decimal" errorStyle="warning" operator="greaterThanOrEqual" allowBlank="1" showInputMessage="1" showErrorMessage="1" error="Nájemné nižší, než minimální prostředky na obnovu, uvedené na listu Postup, může být vloženo pouze se souhlasem SFŽP ČR." xr:uid="{00000000-0002-0000-0300-000039000000}">
          <x14:formula1>
            <xm:f>Postup!F31*N36</xm:f>
          </x14:formula1>
          <xm:sqref>O37</xm:sqref>
        </x14:dataValidation>
        <x14:dataValidation type="decimal" errorStyle="warning" operator="greaterThanOrEqual" allowBlank="1" showInputMessage="1" showErrorMessage="1" error="Nájemné nižší, než minimální prostředky na obnovu, uvedené na listu Postup, může být vloženo pouze se souhlasem SFŽP ČR." xr:uid="{00000000-0002-0000-0300-00003A000000}">
          <x14:formula1>
            <xm:f>Postup!G31*S36</xm:f>
          </x14:formula1>
          <xm:sqref>BC37 T37 Y37 AD37 AI37 AN37 AS37 AX37</xm:sqref>
        </x14:dataValidation>
        <x14:dataValidation type="decimal" errorStyle="warning" operator="greaterThanOrEqual" allowBlank="1" showInputMessage="1" showErrorMessage="1" error="Nájemné nižší, než minimální prostředky na obnovu, uvedené na listu Postup, může být vloženo pouze se souhlasem SFŽP ČR." xr:uid="{00000000-0002-0000-0300-00003B000000}">
          <x14:formula1>
            <xm:f>Postup!O31*BG36</xm:f>
          </x14:formula1>
          <xm:sqref>BH37</xm:sqref>
        </x14:dataValidation>
        <x14:dataValidation type="decimal" operator="lessThanOrEqual" allowBlank="1" showInputMessage="1" showErrorMessage="1" error="Nelze, aby byla hodnota Uplatňovaného zisku provozovatele vyšší, než bylo uvedeno v Nabídce." xr:uid="{00000000-0002-0000-0300-00003C000000}">
          <x14:formula1>
            <xm:f>Nabídka!E66</xm:f>
          </x14:formula1>
          <xm:sqref>E73</xm:sqref>
        </x14:dataValidation>
        <x14:dataValidation type="decimal" operator="lessThanOrEqual" allowBlank="1" showInputMessage="1" showErrorMessage="1" error="Nelze, aby byla hodnota Uplatňovaného zisku provozovatele vyšší, než je uvedeno v Nabídce." xr:uid="{00000000-0002-0000-0300-00003D000000}">
          <x14:formula1>
            <xm:f>Nabídka!E66</xm:f>
          </x14:formula1>
          <xm:sqref>I73 J73</xm:sqref>
        </x14:dataValidation>
        <x14:dataValidation type="decimal" operator="lessThanOrEqual" allowBlank="1" showInputMessage="1" showErrorMessage="1" error="Nelze, aby byla hodnota Uplatňovaného zisku provozovatele vyšší, než je uvedeno v Nabídce." xr:uid="{00000000-0002-0000-0300-00003E000000}">
          <x14:formula1>
            <xm:f>Nabídka!E66</xm:f>
          </x14:formula1>
          <xm:sqref>Q73 R73</xm:sqref>
        </x14:dataValidation>
        <x14:dataValidation type="decimal" operator="lessThanOrEqual" allowBlank="1" showInputMessage="1" showErrorMessage="1" error="Nelze, aby byla hodnota Uplatňovaného zisku provozovatele vyšší, než je uvedeno v Nabídce." xr:uid="{00000000-0002-0000-0300-00003F000000}">
          <x14:formula1>
            <xm:f>Nabídka!E66</xm:f>
          </x14:formula1>
          <xm:sqref>V73 W73</xm:sqref>
        </x14:dataValidation>
        <x14:dataValidation type="decimal" operator="lessThanOrEqual" allowBlank="1" showInputMessage="1" showErrorMessage="1" error="Nelze, aby byla hodnota Uplatňovaného zisku provozovatele vyšší, než je uvedeno v Nabídce." xr:uid="{00000000-0002-0000-0300-000040000000}">
          <x14:formula1>
            <xm:f>Nabídka!E66</xm:f>
          </x14:formula1>
          <xm:sqref>AA73 AB73</xm:sqref>
        </x14:dataValidation>
        <x14:dataValidation type="decimal" operator="lessThanOrEqual" allowBlank="1" showInputMessage="1" showErrorMessage="1" error="Nelze, aby byla hodnota Uplatňovaného zisku provozovatele vyšší, než je uvedeno v Nabídce." xr:uid="{00000000-0002-0000-0300-000041000000}">
          <x14:formula1>
            <xm:f>Nabídka!E66</xm:f>
          </x14:formula1>
          <xm:sqref>AF73 AG73</xm:sqref>
        </x14:dataValidation>
        <x14:dataValidation type="decimal" operator="lessThanOrEqual" allowBlank="1" showInputMessage="1" showErrorMessage="1" error="Nelze, aby byla hodnota Uplatňovaného zisku provozovatele vyšší, než je uvedeno v Nabídce." xr:uid="{00000000-0002-0000-0300-000042000000}">
          <x14:formula1>
            <xm:f>Nabídka!E66</xm:f>
          </x14:formula1>
          <xm:sqref>AK73 AL73</xm:sqref>
        </x14:dataValidation>
        <x14:dataValidation type="decimal" operator="lessThanOrEqual" allowBlank="1" showInputMessage="1" showErrorMessage="1" error="Nelze, aby byla hodnota Uplatňovaného zisku provozovatele vyšší, než je uvedeno v Nabídce." xr:uid="{00000000-0002-0000-0300-000043000000}">
          <x14:formula1>
            <xm:f>Nabídka!E66</xm:f>
          </x14:formula1>
          <xm:sqref>AP73 AQ73</xm:sqref>
        </x14:dataValidation>
        <x14:dataValidation type="decimal" operator="lessThanOrEqual" allowBlank="1" showInputMessage="1" showErrorMessage="1" error="Nelze, aby byla hodnota Uplatňovaného zisku provozovatele vyšší, než je uvedeno v Nabídce." xr:uid="{00000000-0002-0000-0300-000044000000}">
          <x14:formula1>
            <xm:f>Nabídka!E66</xm:f>
          </x14:formula1>
          <xm:sqref>AU73 AV73</xm:sqref>
        </x14:dataValidation>
        <x14:dataValidation type="decimal" operator="lessThanOrEqual" allowBlank="1" showInputMessage="1" showErrorMessage="1" error="Nelze, aby byla hodnota Uplatňovaného zisku provozovatele vyšší, než je uvedeno v Nabídce." xr:uid="{00000000-0002-0000-0300-000045000000}">
          <x14:formula1>
            <xm:f>Nabídka!E66</xm:f>
          </x14:formula1>
          <xm:sqref>AZ73 BA73</xm:sqref>
        </x14:dataValidation>
        <x14:dataValidation type="decimal" operator="lessThanOrEqual" allowBlank="1" showInputMessage="1" showErrorMessage="1" error="Nelze, aby byla hodnota Uplatňovaného zisku provozovatele vyšší, než je uvedeno v Nabídce." xr:uid="{00000000-0002-0000-0300-000046000000}">
          <x14:formula1>
            <xm:f>Nabídka!E66</xm:f>
          </x14:formula1>
          <xm:sqref>BE73 BF73</xm:sqref>
        </x14:dataValidation>
        <x14:dataValidation type="decimal" operator="lessThanOrEqual" allowBlank="1" showInputMessage="1" showErrorMessage="1" error="Nelze, aby byla hodnota Uplatňovaného zisku provozovatele vyšší, než je uvedeno v Nabídce." xr:uid="{00000000-0002-0000-0300-000047000000}">
          <x14:formula1>
            <xm:f>Nabídka!E66</xm:f>
          </x14:formula1>
          <xm:sqref>BJ73:BK73</xm:sqref>
        </x14:dataValidation>
        <x14:dataValidation type="decimal" operator="lessThanOrEqual" allowBlank="1" showInputMessage="1" showErrorMessage="1" error="Nelze, aby byla hodnota Uplatňovaného zisku provozovatele vyšší, než je uvedeno v Nabídce." xr:uid="{00000000-0002-0000-0300-000048000000}">
          <x14:formula1>
            <xm:f>Nabídka!E66</xm:f>
          </x14:formula1>
          <xm:sqref>BL73 BM73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rgb="FFFFCCCC"/>
  </sheetPr>
  <dimension ref="A1:AV1129"/>
  <sheetViews>
    <sheetView topLeftCell="R1" zoomScale="106" zoomScaleNormal="106" workbookViewId="0">
      <selection activeCell="Z147" sqref="Z147"/>
    </sheetView>
  </sheetViews>
  <sheetFormatPr defaultColWidth="0" defaultRowHeight="15" zeroHeight="1" x14ac:dyDescent="0.25"/>
  <cols>
    <col min="1" max="1" width="2.7109375" customWidth="1"/>
    <col min="2" max="2" width="5.140625" customWidth="1"/>
    <col min="3" max="3" width="37.85546875" customWidth="1"/>
    <col min="4" max="4" width="8.85546875" customWidth="1"/>
    <col min="5" max="6" width="9.28515625" customWidth="1"/>
    <col min="7" max="8" width="8.85546875" customWidth="1"/>
    <col min="9" max="10" width="2.7109375" customWidth="1"/>
    <col min="11" max="11" width="5.140625" customWidth="1"/>
    <col min="12" max="12" width="37.85546875" customWidth="1"/>
    <col min="13" max="13" width="8.85546875" customWidth="1"/>
    <col min="14" max="15" width="9.28515625" customWidth="1"/>
    <col min="16" max="17" width="8.85546875" customWidth="1"/>
    <col min="18" max="18" width="2.5703125" customWidth="1"/>
    <col min="19" max="19" width="2.7109375" customWidth="1"/>
    <col min="20" max="20" width="5.7109375" customWidth="1"/>
    <col min="21" max="21" width="37.85546875" customWidth="1"/>
    <col min="22" max="22" width="8.85546875" customWidth="1"/>
    <col min="23" max="24" width="9.28515625" customWidth="1"/>
    <col min="25" max="28" width="8.85546875" customWidth="1"/>
    <col min="29" max="30" width="2.7109375" customWidth="1"/>
    <col min="31" max="31" width="3.42578125" customWidth="1"/>
    <col min="32" max="32" width="40.5703125" customWidth="1"/>
    <col min="33" max="33" width="9.140625" customWidth="1"/>
    <col min="34" max="35" width="8.85546875" customWidth="1"/>
    <col min="36" max="36" width="8.85546875" hidden="1" customWidth="1"/>
    <col min="37" max="38" width="9.140625" hidden="1" customWidth="1"/>
    <col min="39" max="39" width="9.28515625" hidden="1" customWidth="1"/>
    <col min="40" max="48" width="0" hidden="1" customWidth="1"/>
    <col min="49" max="16384" width="8.85546875" hidden="1"/>
  </cols>
  <sheetData>
    <row r="1" spans="2:34" x14ac:dyDescent="0.25">
      <c r="B1" s="29"/>
      <c r="AC1" s="146"/>
      <c r="AD1" s="146"/>
      <c r="AE1" s="146"/>
      <c r="AF1" s="146"/>
      <c r="AG1" s="146"/>
      <c r="AH1" s="146"/>
    </row>
    <row r="2" spans="2:34" x14ac:dyDescent="0.25">
      <c r="B2" s="899" t="s">
        <v>316</v>
      </c>
      <c r="C2" s="900"/>
      <c r="D2" s="900"/>
      <c r="E2" s="900"/>
      <c r="F2" s="900"/>
      <c r="G2" s="900"/>
      <c r="H2" s="900"/>
      <c r="K2" s="899" t="s">
        <v>317</v>
      </c>
      <c r="L2" s="900"/>
      <c r="M2" s="900"/>
      <c r="N2" s="900"/>
      <c r="O2" s="900"/>
      <c r="P2" s="900"/>
      <c r="Q2" s="900"/>
      <c r="T2" s="899" t="s">
        <v>162</v>
      </c>
      <c r="U2" s="900"/>
      <c r="V2" s="900"/>
      <c r="W2" s="900"/>
      <c r="X2" s="900"/>
      <c r="Y2" s="900"/>
      <c r="Z2" s="900"/>
      <c r="AA2" s="900"/>
      <c r="AB2" s="900"/>
      <c r="AC2" s="146"/>
      <c r="AD2" s="146"/>
      <c r="AE2" s="146"/>
      <c r="AF2" s="146"/>
      <c r="AG2" s="338"/>
      <c r="AH2" s="338"/>
    </row>
    <row r="3" spans="2:34" x14ac:dyDescent="0.25">
      <c r="C3" s="272"/>
      <c r="E3" s="25"/>
      <c r="F3" s="25"/>
      <c r="L3" s="25"/>
      <c r="N3" s="25"/>
      <c r="T3" s="1079" t="s">
        <v>318</v>
      </c>
      <c r="U3" s="1079"/>
      <c r="V3" s="1079"/>
      <c r="W3" s="1079"/>
      <c r="X3" s="1079"/>
      <c r="Y3" s="1079"/>
      <c r="Z3" s="1079"/>
      <c r="AA3" s="1079"/>
      <c r="AB3" s="1079"/>
      <c r="AC3" s="146"/>
      <c r="AD3" s="146"/>
      <c r="AE3" s="146"/>
      <c r="AF3" s="146"/>
      <c r="AG3" s="146"/>
      <c r="AH3" s="146"/>
    </row>
    <row r="4" spans="2:34" x14ac:dyDescent="0.25">
      <c r="C4" s="272" t="s">
        <v>103</v>
      </c>
      <c r="D4" s="274">
        <f>Postup!J24</f>
        <v>2024</v>
      </c>
      <c r="E4" s="25"/>
      <c r="F4" s="272" t="s">
        <v>221</v>
      </c>
      <c r="G4" s="275">
        <f>Výpočty!H$48</f>
        <v>45383</v>
      </c>
      <c r="H4" s="275" t="str">
        <f>CONCATENATE("- ",DAY(Výpočty!H49),".",MONTH(Výpočty!H49),".",D4)</f>
        <v>- 31.12.2024</v>
      </c>
      <c r="L4" s="272" t="s">
        <v>103</v>
      </c>
      <c r="M4" s="274">
        <f>D4</f>
        <v>2024</v>
      </c>
      <c r="O4" s="272" t="s">
        <v>221</v>
      </c>
      <c r="P4" s="360" t="str">
        <f>Výpočty!H$44</f>
        <v>-</v>
      </c>
      <c r="Q4" s="275" t="str">
        <f>IF(P4="-"," ",H4)</f>
        <v xml:space="preserve"> </v>
      </c>
      <c r="T4" s="333"/>
      <c r="U4" s="333"/>
      <c r="V4" s="342" t="s">
        <v>147</v>
      </c>
      <c r="W4" s="274">
        <f>M4</f>
        <v>2024</v>
      </c>
      <c r="Z4" s="272" t="s">
        <v>221</v>
      </c>
      <c r="AA4" s="275">
        <f>G4</f>
        <v>45383</v>
      </c>
      <c r="AB4" s="275" t="str">
        <f>H4</f>
        <v>- 31.12.2024</v>
      </c>
      <c r="AC4" s="146"/>
      <c r="AD4" s="146"/>
      <c r="AE4" s="146"/>
      <c r="AF4" s="146"/>
      <c r="AG4" s="146"/>
      <c r="AH4" s="146"/>
    </row>
    <row r="5" spans="2:34" x14ac:dyDescent="0.25">
      <c r="B5" s="13" t="s">
        <v>66</v>
      </c>
      <c r="C5" s="13" t="s">
        <v>89</v>
      </c>
      <c r="D5" s="1061" t="str">
        <f>Nabídka!D5</f>
        <v>PRVOK s.r.o., IČ 281 28 257</v>
      </c>
      <c r="E5" s="1062"/>
      <c r="F5" s="1062"/>
      <c r="G5" s="1062"/>
      <c r="H5" s="1063"/>
      <c r="K5" s="13" t="s">
        <v>66</v>
      </c>
      <c r="L5" s="13" t="s">
        <v>89</v>
      </c>
      <c r="M5" s="1080" t="str">
        <f>D5</f>
        <v>PRVOK s.r.o., IČ 281 28 257</v>
      </c>
      <c r="N5" s="1081"/>
      <c r="O5" s="1081"/>
      <c r="P5" s="1081"/>
      <c r="Q5" s="1081"/>
      <c r="T5" s="13" t="s">
        <v>66</v>
      </c>
      <c r="U5" s="13" t="s">
        <v>89</v>
      </c>
      <c r="V5" s="1080" t="str">
        <f>D5</f>
        <v>PRVOK s.r.o., IČ 281 28 257</v>
      </c>
      <c r="W5" s="1081"/>
      <c r="X5" s="1081"/>
      <c r="Y5" s="1081"/>
      <c r="Z5" s="1081"/>
      <c r="AA5" s="1081"/>
      <c r="AB5" s="1081"/>
      <c r="AC5" s="146"/>
      <c r="AD5" s="146"/>
    </row>
    <row r="6" spans="2:34" x14ac:dyDescent="0.25">
      <c r="B6" s="13" t="s">
        <v>84</v>
      </c>
      <c r="C6" s="13" t="s">
        <v>90</v>
      </c>
      <c r="D6" s="1061" t="str">
        <f>Nabídka!D6</f>
        <v>PRVOK s.r.o., IČ 281 28 257</v>
      </c>
      <c r="E6" s="1062"/>
      <c r="F6" s="1062"/>
      <c r="G6" s="1062"/>
      <c r="H6" s="1063"/>
      <c r="K6" s="13" t="s">
        <v>84</v>
      </c>
      <c r="L6" s="13" t="s">
        <v>90</v>
      </c>
      <c r="M6" s="1061" t="str">
        <f>D6</f>
        <v>PRVOK s.r.o., IČ 281 28 257</v>
      </c>
      <c r="N6" s="1062"/>
      <c r="O6" s="1062"/>
      <c r="P6" s="1062"/>
      <c r="Q6" s="1063"/>
      <c r="T6" s="13" t="s">
        <v>84</v>
      </c>
      <c r="U6" s="13" t="s">
        <v>90</v>
      </c>
      <c r="V6" s="1061" t="str">
        <f>D6</f>
        <v>PRVOK s.r.o., IČ 281 28 257</v>
      </c>
      <c r="W6" s="1062"/>
      <c r="X6" s="1062"/>
      <c r="Y6" s="1062"/>
      <c r="Z6" s="1062"/>
      <c r="AA6" s="1062"/>
      <c r="AB6" s="1063"/>
      <c r="AC6" s="146"/>
      <c r="AD6" s="146"/>
    </row>
    <row r="7" spans="2:34" x14ac:dyDescent="0.25">
      <c r="B7" s="13" t="s">
        <v>85</v>
      </c>
      <c r="C7" s="13" t="s">
        <v>91</v>
      </c>
      <c r="D7" s="1061" t="str">
        <f>Nabídka!D7</f>
        <v>Obec Benešov nad Černou, IČ 00245780</v>
      </c>
      <c r="E7" s="1062"/>
      <c r="F7" s="1062"/>
      <c r="G7" s="1062"/>
      <c r="H7" s="1063"/>
      <c r="K7" s="13" t="s">
        <v>85</v>
      </c>
      <c r="L7" s="13" t="s">
        <v>91</v>
      </c>
      <c r="M7" s="1061" t="str">
        <f>D7</f>
        <v>Obec Benešov nad Černou, IČ 00245780</v>
      </c>
      <c r="N7" s="1062"/>
      <c r="O7" s="1062"/>
      <c r="P7" s="1062"/>
      <c r="Q7" s="1063"/>
      <c r="T7" s="13" t="s">
        <v>85</v>
      </c>
      <c r="U7" s="13" t="s">
        <v>91</v>
      </c>
      <c r="V7" s="1061" t="str">
        <f>D7</f>
        <v>Obec Benešov nad Černou, IČ 00245780</v>
      </c>
      <c r="W7" s="1062"/>
      <c r="X7" s="1062"/>
      <c r="Y7" s="1062"/>
      <c r="Z7" s="1062"/>
      <c r="AA7" s="1062"/>
      <c r="AB7" s="1063"/>
      <c r="AC7" s="146"/>
      <c r="AD7" s="146"/>
    </row>
    <row r="8" spans="2:34" x14ac:dyDescent="0.25">
      <c r="B8" s="13" t="s">
        <v>86</v>
      </c>
      <c r="C8" s="13" t="s">
        <v>93</v>
      </c>
      <c r="D8" s="1103" t="str">
        <f>IF(ISBLANK(Nabídka!$D$8),"[vyplnit]",Nabídka!$D$8)</f>
        <v>A</v>
      </c>
      <c r="E8" s="1104"/>
      <c r="F8" s="1104"/>
      <c r="G8" s="1104"/>
      <c r="H8" s="1105"/>
      <c r="K8" s="13" t="s">
        <v>86</v>
      </c>
      <c r="L8" s="13" t="s">
        <v>93</v>
      </c>
      <c r="M8" s="1058" t="str">
        <f>IF($D8="[vyplnit]"," ",$D8)</f>
        <v>A</v>
      </c>
      <c r="N8" s="1059"/>
      <c r="O8" s="1059"/>
      <c r="P8" s="1059"/>
      <c r="Q8" s="1060"/>
      <c r="T8" s="13" t="s">
        <v>86</v>
      </c>
      <c r="U8" s="13" t="s">
        <v>93</v>
      </c>
      <c r="V8" s="1064" t="str">
        <f>IF($D8="[vyplnit]"," ",$D8)</f>
        <v>A</v>
      </c>
      <c r="W8" s="1064"/>
      <c r="X8" s="1064"/>
      <c r="Y8" s="1064"/>
      <c r="Z8" s="1064"/>
      <c r="AA8" s="1064"/>
      <c r="AB8" s="1064"/>
      <c r="AC8" s="146"/>
      <c r="AD8" s="146"/>
    </row>
    <row r="9" spans="2:34" x14ac:dyDescent="0.25">
      <c r="B9" s="13" t="s">
        <v>87</v>
      </c>
      <c r="C9" s="13" t="s">
        <v>92</v>
      </c>
      <c r="D9" s="1103">
        <f>IF(ISBLANK(Nabídka!$D$9),"[vyplnit]",Nabídka!$D$9)</f>
        <v>1</v>
      </c>
      <c r="E9" s="1104"/>
      <c r="F9" s="1104"/>
      <c r="G9" s="1104"/>
      <c r="H9" s="1105"/>
      <c r="K9" s="13" t="s">
        <v>87</v>
      </c>
      <c r="L9" s="13" t="s">
        <v>92</v>
      </c>
      <c r="M9" s="1058">
        <f>IF($D9="[vyplnit]"," ",$D9)</f>
        <v>1</v>
      </c>
      <c r="N9" s="1059"/>
      <c r="O9" s="1059"/>
      <c r="P9" s="1059"/>
      <c r="Q9" s="1060"/>
      <c r="T9" s="13" t="s">
        <v>87</v>
      </c>
      <c r="U9" s="13" t="s">
        <v>92</v>
      </c>
      <c r="V9" s="1064">
        <f>IF($D9="[vyplnit]"," ",$D9)</f>
        <v>1</v>
      </c>
      <c r="W9" s="1064"/>
      <c r="X9" s="1064"/>
      <c r="Y9" s="1064"/>
      <c r="Z9" s="1064"/>
      <c r="AA9" s="1064"/>
      <c r="AB9" s="1064"/>
      <c r="AC9" s="146"/>
      <c r="AD9" s="146"/>
    </row>
    <row r="10" spans="2:34" x14ac:dyDescent="0.25">
      <c r="B10" s="13" t="s">
        <v>88</v>
      </c>
      <c r="C10" s="13" t="s">
        <v>94</v>
      </c>
      <c r="D10" s="1103" t="str">
        <f>IF(ISBLANK(Nabídka!$D$10),"[vyplnit]",Nabídka!$D$10)</f>
        <v>[vyplnit]</v>
      </c>
      <c r="E10" s="1104"/>
      <c r="F10" s="1104"/>
      <c r="G10" s="1104"/>
      <c r="H10" s="1105"/>
      <c r="K10" s="13" t="s">
        <v>88</v>
      </c>
      <c r="L10" s="13" t="s">
        <v>94</v>
      </c>
      <c r="M10" s="1058" t="str">
        <f>IF($D10="[vyplnit]"," ",$D10)</f>
        <v xml:space="preserve"> </v>
      </c>
      <c r="N10" s="1059"/>
      <c r="O10" s="1059"/>
      <c r="P10" s="1059"/>
      <c r="Q10" s="1060"/>
      <c r="T10" s="13" t="s">
        <v>88</v>
      </c>
      <c r="U10" s="13" t="s">
        <v>94</v>
      </c>
      <c r="V10" s="1064" t="str">
        <f>IF($D10="[vyplnit]"," ",$D10)</f>
        <v xml:space="preserve"> </v>
      </c>
      <c r="W10" s="1064"/>
      <c r="X10" s="1064"/>
      <c r="Y10" s="1064"/>
      <c r="Z10" s="1064"/>
      <c r="AA10" s="1064"/>
      <c r="AB10" s="1064"/>
      <c r="AC10" s="146"/>
      <c r="AD10" s="146"/>
    </row>
    <row r="11" spans="2:34" x14ac:dyDescent="0.25">
      <c r="AC11" s="146"/>
    </row>
    <row r="12" spans="2:34" ht="15" customHeight="1" x14ac:dyDescent="0.25">
      <c r="B12" s="1052" t="s">
        <v>5</v>
      </c>
      <c r="C12" s="884" t="s">
        <v>0</v>
      </c>
      <c r="D12" s="868"/>
      <c r="E12" s="868"/>
      <c r="F12" s="868"/>
      <c r="G12" s="868"/>
      <c r="H12" s="869"/>
      <c r="K12" s="1052" t="s">
        <v>5</v>
      </c>
      <c r="L12" s="884" t="s">
        <v>0</v>
      </c>
      <c r="M12" s="868"/>
      <c r="N12" s="868"/>
      <c r="O12" s="868"/>
      <c r="P12" s="868"/>
      <c r="Q12" s="869"/>
      <c r="T12" s="1052" t="s">
        <v>5</v>
      </c>
      <c r="U12" s="884" t="s">
        <v>0</v>
      </c>
      <c r="V12" s="868"/>
      <c r="W12" s="868"/>
      <c r="X12" s="868"/>
      <c r="Y12" s="868"/>
      <c r="Z12" s="868"/>
      <c r="AA12" s="868"/>
      <c r="AB12" s="869"/>
      <c r="AC12" s="146"/>
    </row>
    <row r="13" spans="2:34" x14ac:dyDescent="0.25">
      <c r="B13" s="1053"/>
      <c r="C13" s="1052" t="s">
        <v>1</v>
      </c>
      <c r="D13" s="1065" t="s">
        <v>133</v>
      </c>
      <c r="E13" s="884" t="s">
        <v>3</v>
      </c>
      <c r="F13" s="868"/>
      <c r="G13" s="884" t="s">
        <v>4</v>
      </c>
      <c r="H13" s="869"/>
      <c r="K13" s="1053"/>
      <c r="L13" s="1052" t="s">
        <v>1</v>
      </c>
      <c r="M13" s="1065" t="s">
        <v>133</v>
      </c>
      <c r="N13" s="884" t="s">
        <v>3</v>
      </c>
      <c r="O13" s="868"/>
      <c r="P13" s="884" t="s">
        <v>4</v>
      </c>
      <c r="Q13" s="869"/>
      <c r="T13" s="1053"/>
      <c r="U13" s="1052" t="s">
        <v>1</v>
      </c>
      <c r="V13" s="1065" t="s">
        <v>133</v>
      </c>
      <c r="W13" s="884" t="s">
        <v>3</v>
      </c>
      <c r="X13" s="868"/>
      <c r="Y13" s="868"/>
      <c r="Z13" s="884" t="s">
        <v>4</v>
      </c>
      <c r="AA13" s="868"/>
      <c r="AB13" s="869"/>
      <c r="AC13" s="146"/>
    </row>
    <row r="14" spans="2:34" x14ac:dyDescent="0.25">
      <c r="B14" s="1053"/>
      <c r="C14" s="1053"/>
      <c r="D14" s="1053"/>
      <c r="E14" s="28">
        <f>D4-1</f>
        <v>2023</v>
      </c>
      <c r="F14" s="28">
        <f>D4</f>
        <v>2024</v>
      </c>
      <c r="G14" s="28">
        <f>D4-1</f>
        <v>2023</v>
      </c>
      <c r="H14" s="28">
        <f>D4</f>
        <v>2024</v>
      </c>
      <c r="K14" s="1053"/>
      <c r="L14" s="1053"/>
      <c r="M14" s="1053"/>
      <c r="N14" s="28">
        <f>M4-1</f>
        <v>2023</v>
      </c>
      <c r="O14" s="28">
        <f>M4</f>
        <v>2024</v>
      </c>
      <c r="P14" s="28">
        <f>M4-1</f>
        <v>2023</v>
      </c>
      <c r="Q14" s="28">
        <f>M4</f>
        <v>2024</v>
      </c>
      <c r="T14" s="1053"/>
      <c r="U14" s="1053"/>
      <c r="V14" s="1053"/>
      <c r="W14" s="28">
        <f>W4</f>
        <v>2024</v>
      </c>
      <c r="X14" s="28">
        <f>W4</f>
        <v>2024</v>
      </c>
      <c r="Y14" s="28">
        <f>W4</f>
        <v>2024</v>
      </c>
      <c r="Z14" s="28">
        <f>W4</f>
        <v>2024</v>
      </c>
      <c r="AA14" s="28">
        <f>W4</f>
        <v>2024</v>
      </c>
      <c r="AB14" s="28">
        <f>W4</f>
        <v>2024</v>
      </c>
      <c r="AC14" s="146"/>
    </row>
    <row r="15" spans="2:34" x14ac:dyDescent="0.25">
      <c r="B15" s="1054"/>
      <c r="C15" s="1054"/>
      <c r="D15" s="1054"/>
      <c r="E15" s="7" t="s">
        <v>151</v>
      </c>
      <c r="F15" s="7" t="s">
        <v>98</v>
      </c>
      <c r="G15" s="7" t="s">
        <v>151</v>
      </c>
      <c r="H15" s="19" t="s">
        <v>98</v>
      </c>
      <c r="K15" s="1054"/>
      <c r="L15" s="1054"/>
      <c r="M15" s="1054"/>
      <c r="N15" s="7" t="s">
        <v>151</v>
      </c>
      <c r="O15" s="7" t="s">
        <v>98</v>
      </c>
      <c r="P15" s="7" t="s">
        <v>151</v>
      </c>
      <c r="Q15" s="19" t="s">
        <v>98</v>
      </c>
      <c r="T15" s="1054"/>
      <c r="U15" s="1054"/>
      <c r="V15" s="1054"/>
      <c r="W15" s="7" t="s">
        <v>150</v>
      </c>
      <c r="X15" s="7" t="s">
        <v>98</v>
      </c>
      <c r="Y15" s="7" t="s">
        <v>149</v>
      </c>
      <c r="Z15" s="7" t="s">
        <v>150</v>
      </c>
      <c r="AA15" s="7" t="s">
        <v>98</v>
      </c>
      <c r="AB15" s="19" t="s">
        <v>149</v>
      </c>
      <c r="AC15" s="146"/>
    </row>
    <row r="16" spans="2:34" x14ac:dyDescent="0.25">
      <c r="B16" s="11">
        <v>1</v>
      </c>
      <c r="C16" s="11">
        <v>2</v>
      </c>
      <c r="D16" s="11" t="s">
        <v>95</v>
      </c>
      <c r="E16" s="11">
        <v>3</v>
      </c>
      <c r="F16" s="11">
        <v>4</v>
      </c>
      <c r="G16" s="11">
        <v>6</v>
      </c>
      <c r="H16" s="22">
        <v>7</v>
      </c>
      <c r="K16" s="11">
        <v>1</v>
      </c>
      <c r="L16" s="11">
        <v>2</v>
      </c>
      <c r="M16" s="11" t="s">
        <v>95</v>
      </c>
      <c r="N16" s="11">
        <v>3</v>
      </c>
      <c r="O16" s="11">
        <v>4</v>
      </c>
      <c r="P16" s="11">
        <v>6</v>
      </c>
      <c r="Q16" s="22">
        <v>7</v>
      </c>
      <c r="T16" s="11">
        <v>1</v>
      </c>
      <c r="U16" s="11">
        <v>2</v>
      </c>
      <c r="V16" s="11" t="s">
        <v>95</v>
      </c>
      <c r="W16" s="11">
        <v>3</v>
      </c>
      <c r="X16" s="11">
        <v>4</v>
      </c>
      <c r="Y16" s="11">
        <v>5</v>
      </c>
      <c r="Z16" s="11">
        <v>6</v>
      </c>
      <c r="AA16" s="11">
        <v>7</v>
      </c>
      <c r="AB16" s="22">
        <v>8</v>
      </c>
      <c r="AC16" s="146"/>
    </row>
    <row r="17" spans="2:34" x14ac:dyDescent="0.25">
      <c r="B17" s="9" t="s">
        <v>8</v>
      </c>
      <c r="C17" s="10" t="s">
        <v>9</v>
      </c>
      <c r="D17" s="11" t="s">
        <v>10</v>
      </c>
      <c r="E17" s="41">
        <f>SUM(E18:E21)</f>
        <v>0</v>
      </c>
      <c r="F17" s="41">
        <f>SUM(F18:F21)</f>
        <v>9.0082191277863016E-2</v>
      </c>
      <c r="G17" s="41">
        <f>SUM(G18:G21)</f>
        <v>0</v>
      </c>
      <c r="H17" s="86">
        <f>SUM(H18:H21)</f>
        <v>4.5041074871232878E-2</v>
      </c>
      <c r="K17" s="9" t="s">
        <v>8</v>
      </c>
      <c r="L17" s="10" t="s">
        <v>9</v>
      </c>
      <c r="M17" s="11" t="s">
        <v>10</v>
      </c>
      <c r="N17" s="41">
        <f>SUM(N18:N21)</f>
        <v>0</v>
      </c>
      <c r="O17" s="41">
        <f>SUM(O18:O21)</f>
        <v>0</v>
      </c>
      <c r="P17" s="41">
        <f>SUM(P18:P21)</f>
        <v>0</v>
      </c>
      <c r="Q17" s="86">
        <f>SUM(Q18:Q21)</f>
        <v>0</v>
      </c>
      <c r="T17" s="9" t="s">
        <v>8</v>
      </c>
      <c r="U17" s="10" t="s">
        <v>9</v>
      </c>
      <c r="V17" s="11" t="s">
        <v>10</v>
      </c>
      <c r="W17" s="86">
        <f t="shared" ref="W17:AB17" si="0">SUM(W18:W21)</f>
        <v>0</v>
      </c>
      <c r="X17" s="86">
        <f t="shared" si="0"/>
        <v>9.0082191277863016E-2</v>
      </c>
      <c r="Y17" s="86">
        <f t="shared" si="0"/>
        <v>-9.0082191277863016E-2</v>
      </c>
      <c r="Z17" s="86">
        <f t="shared" si="0"/>
        <v>0</v>
      </c>
      <c r="AA17" s="86">
        <f t="shared" si="0"/>
        <v>4.5041074871232878E-2</v>
      </c>
      <c r="AB17" s="86">
        <f t="shared" si="0"/>
        <v>-4.5041074871232878E-2</v>
      </c>
      <c r="AC17" s="146"/>
    </row>
    <row r="18" spans="2:34" x14ac:dyDescent="0.25">
      <c r="B18" s="12" t="s">
        <v>11</v>
      </c>
      <c r="C18" s="13" t="s">
        <v>12</v>
      </c>
      <c r="D18" s="3" t="s">
        <v>10</v>
      </c>
      <c r="E18" s="44">
        <v>0</v>
      </c>
      <c r="F18" s="44">
        <f>IF(AND(DAY(Postup!$H$24)=1,MONTH(Postup!$H$24)=1),Provozování!E23,Provozování!G23)</f>
        <v>6.0054794520547947E-2</v>
      </c>
      <c r="G18" s="44">
        <v>0</v>
      </c>
      <c r="H18" s="334">
        <v>0</v>
      </c>
      <c r="K18" s="12" t="s">
        <v>11</v>
      </c>
      <c r="L18" s="13" t="s">
        <v>12</v>
      </c>
      <c r="M18" s="3" t="s">
        <v>10</v>
      </c>
      <c r="N18" s="44">
        <v>0</v>
      </c>
      <c r="O18" s="44">
        <f>IF(Provozování!$I$16="Neaktivní",0,Provozování!I23)</f>
        <v>0</v>
      </c>
      <c r="P18" s="44">
        <v>0</v>
      </c>
      <c r="Q18" s="334">
        <v>0</v>
      </c>
      <c r="T18" s="12" t="s">
        <v>11</v>
      </c>
      <c r="U18" s="13" t="s">
        <v>12</v>
      </c>
      <c r="V18" s="3" t="s">
        <v>10</v>
      </c>
      <c r="W18" s="462">
        <v>0</v>
      </c>
      <c r="X18" s="44">
        <f>IF(Provozování!$I$16="Neaktivní",F18,O18)</f>
        <v>6.0054794520547947E-2</v>
      </c>
      <c r="Y18" s="44">
        <f>W18-X18</f>
        <v>-6.0054794520547947E-2</v>
      </c>
      <c r="Z18" s="337">
        <v>0</v>
      </c>
      <c r="AA18" s="337">
        <v>0</v>
      </c>
      <c r="AB18" s="334">
        <v>0</v>
      </c>
      <c r="AC18" s="146"/>
    </row>
    <row r="19" spans="2:34" x14ac:dyDescent="0.25">
      <c r="B19" s="12" t="s">
        <v>13</v>
      </c>
      <c r="C19" s="12" t="s">
        <v>14</v>
      </c>
      <c r="D19" s="3" t="s">
        <v>10</v>
      </c>
      <c r="E19" s="52">
        <v>0</v>
      </c>
      <c r="F19" s="44">
        <f>IF(AND(DAY(Postup!$H$24)=1,MONTH(Postup!$H$24)=1),Provozování!E24,Provozování!G24)</f>
        <v>0</v>
      </c>
      <c r="G19" s="52">
        <v>0</v>
      </c>
      <c r="H19" s="30">
        <f>IF(AND(DAY(Postup!$H$24)=1,MONTH(Postup!$H$24)=1),Provozování!F24,Provozování!H24)</f>
        <v>0</v>
      </c>
      <c r="K19" s="12" t="s">
        <v>13</v>
      </c>
      <c r="L19" s="12" t="s">
        <v>14</v>
      </c>
      <c r="M19" s="3" t="s">
        <v>10</v>
      </c>
      <c r="N19" s="52">
        <v>0</v>
      </c>
      <c r="O19" s="44">
        <f>IF(Provozování!$I$16="Neaktivní",0,Provozování!I24)</f>
        <v>0</v>
      </c>
      <c r="P19" s="52">
        <v>0</v>
      </c>
      <c r="Q19" s="53">
        <f>IF(Provozování!$I$16="Neaktivní",0,Provozování!J24)</f>
        <v>0</v>
      </c>
      <c r="T19" s="12" t="s">
        <v>13</v>
      </c>
      <c r="U19" s="12" t="s">
        <v>14</v>
      </c>
      <c r="V19" s="3" t="s">
        <v>10</v>
      </c>
      <c r="W19" s="463">
        <v>0</v>
      </c>
      <c r="X19" s="44">
        <f>IF(Provozování!$I$16="Neaktivní",F19,O19)</f>
        <v>0</v>
      </c>
      <c r="Y19" s="44">
        <f>W19-X19</f>
        <v>0</v>
      </c>
      <c r="Z19" s="463">
        <v>0</v>
      </c>
      <c r="AA19" s="44">
        <f>IF(Provozování!$I$16="Neaktivní",H19,Q19)</f>
        <v>0</v>
      </c>
      <c r="AB19" s="30">
        <f>Z19-AA19</f>
        <v>0</v>
      </c>
      <c r="AC19" s="146"/>
    </row>
    <row r="20" spans="2:34" x14ac:dyDescent="0.25">
      <c r="B20" s="12" t="s">
        <v>15</v>
      </c>
      <c r="C20" s="13" t="s">
        <v>16</v>
      </c>
      <c r="D20" s="3" t="s">
        <v>10</v>
      </c>
      <c r="E20" s="30">
        <v>0</v>
      </c>
      <c r="F20" s="456">
        <f>IF(AND(DAY(Postup!$H$24)=1,MONTH(Postup!$H$24)=1),Provozování!E25,Provozování!G25)</f>
        <v>5.0045657095890411E-3</v>
      </c>
      <c r="G20" s="30">
        <v>0</v>
      </c>
      <c r="H20" s="457">
        <f>IF(AND(DAY(Postup!$H$24)=1,MONTH(Postup!$H$24)=1),Provozování!F25,Provozování!H25)</f>
        <v>3.7534225556164383E-2</v>
      </c>
      <c r="K20" s="12" t="s">
        <v>15</v>
      </c>
      <c r="L20" s="13" t="s">
        <v>16</v>
      </c>
      <c r="M20" s="3" t="s">
        <v>10</v>
      </c>
      <c r="N20" s="30">
        <v>0</v>
      </c>
      <c r="O20" s="456">
        <f>IF(Provozování!$I$16="Neaktivní",0,Provozování!I25)</f>
        <v>0</v>
      </c>
      <c r="P20" s="30">
        <v>0</v>
      </c>
      <c r="Q20" s="461">
        <f>IF(Provozování!$I$16="Neaktivní",0,Provozování!J25)</f>
        <v>0</v>
      </c>
      <c r="T20" s="12" t="s">
        <v>15</v>
      </c>
      <c r="U20" s="13" t="s">
        <v>16</v>
      </c>
      <c r="V20" s="3" t="s">
        <v>10</v>
      </c>
      <c r="W20" s="464">
        <v>0</v>
      </c>
      <c r="X20" s="44">
        <f>IF(Provozování!$I$16="Neaktivní",F20,O20)</f>
        <v>5.0045657095890411E-3</v>
      </c>
      <c r="Y20" s="44">
        <f>W20-X20</f>
        <v>-5.0045657095890411E-3</v>
      </c>
      <c r="Z20" s="464">
        <v>0</v>
      </c>
      <c r="AA20" s="44">
        <f>IF(Provozování!$I$16="Neaktivní",H20,Q20)</f>
        <v>3.7534225556164383E-2</v>
      </c>
      <c r="AB20" s="30">
        <f>Z20-AA20</f>
        <v>-3.7534225556164383E-2</v>
      </c>
      <c r="AC20" s="146"/>
    </row>
    <row r="21" spans="2:34" x14ac:dyDescent="0.25">
      <c r="B21" s="12" t="s">
        <v>17</v>
      </c>
      <c r="C21" s="13" t="s">
        <v>18</v>
      </c>
      <c r="D21" s="3" t="s">
        <v>10</v>
      </c>
      <c r="E21" s="87">
        <v>0</v>
      </c>
      <c r="F21" s="456">
        <f>IF(AND(DAY(Postup!$H$24)=1,MONTH(Postup!$H$24)=1),Provozování!E26,Provozování!G26)</f>
        <v>2.5022831047726027E-2</v>
      </c>
      <c r="G21" s="87">
        <v>0</v>
      </c>
      <c r="H21" s="457">
        <f>IF(AND(DAY(Postup!$H$24)=1,MONTH(Postup!$H$24)=1),Provozování!F26,Provozování!H26)</f>
        <v>7.5068493150684933E-3</v>
      </c>
      <c r="K21" s="12" t="s">
        <v>17</v>
      </c>
      <c r="L21" s="13" t="s">
        <v>18</v>
      </c>
      <c r="M21" s="3" t="s">
        <v>10</v>
      </c>
      <c r="N21" s="87">
        <v>0</v>
      </c>
      <c r="O21" s="456">
        <f>IF(Provozování!$I$16="Neaktivní",0,Provozování!I26)</f>
        <v>0</v>
      </c>
      <c r="P21" s="87">
        <v>0</v>
      </c>
      <c r="Q21" s="461">
        <f>IF(Provozování!$I$16="Neaktivní",0,Provozování!J26)</f>
        <v>0</v>
      </c>
      <c r="T21" s="12" t="s">
        <v>17</v>
      </c>
      <c r="U21" s="13" t="s">
        <v>18</v>
      </c>
      <c r="V21" s="3" t="s">
        <v>10</v>
      </c>
      <c r="W21" s="465">
        <v>0</v>
      </c>
      <c r="X21" s="44">
        <f>IF(Provozování!$I$16="Neaktivní",F21,O21)</f>
        <v>2.5022831047726027E-2</v>
      </c>
      <c r="Y21" s="44">
        <f>W21-X21</f>
        <v>-2.5022831047726027E-2</v>
      </c>
      <c r="Z21" s="465">
        <v>0</v>
      </c>
      <c r="AA21" s="44">
        <f>IF(Provozování!$I$16="Neaktivní",H21,Q21)</f>
        <v>7.5068493150684933E-3</v>
      </c>
      <c r="AB21" s="30">
        <f>Z21-AA21</f>
        <v>-7.5068493150684933E-3</v>
      </c>
      <c r="AC21" s="146"/>
    </row>
    <row r="22" spans="2:34" x14ac:dyDescent="0.25">
      <c r="B22" s="9" t="s">
        <v>19</v>
      </c>
      <c r="C22" s="10" t="s">
        <v>20</v>
      </c>
      <c r="D22" s="11" t="s">
        <v>10</v>
      </c>
      <c r="E22" s="88">
        <f>SUM(E23:E24)</f>
        <v>0</v>
      </c>
      <c r="F22" s="88">
        <f>SUM(F23:F24)</f>
        <v>2.7525111402739728E-2</v>
      </c>
      <c r="G22" s="88">
        <f>SUM(G23:G24)</f>
        <v>0</v>
      </c>
      <c r="H22" s="86">
        <f>SUM(H23:H24)</f>
        <v>0.30027396959999997</v>
      </c>
      <c r="K22" s="9" t="s">
        <v>19</v>
      </c>
      <c r="L22" s="10" t="s">
        <v>20</v>
      </c>
      <c r="M22" s="11" t="s">
        <v>10</v>
      </c>
      <c r="N22" s="88">
        <f>SUM(N23:N24)</f>
        <v>0</v>
      </c>
      <c r="O22" s="88">
        <f>SUM(O23:O24)</f>
        <v>0</v>
      </c>
      <c r="P22" s="88">
        <f>SUM(P23:P24)</f>
        <v>0</v>
      </c>
      <c r="Q22" s="86">
        <f>SUM(Q23:Q24)</f>
        <v>0</v>
      </c>
      <c r="T22" s="9" t="s">
        <v>19</v>
      </c>
      <c r="U22" s="10" t="s">
        <v>20</v>
      </c>
      <c r="V22" s="11" t="s">
        <v>10</v>
      </c>
      <c r="W22" s="86">
        <f t="shared" ref="W22:AB22" si="1">SUM(W23:W24)</f>
        <v>0</v>
      </c>
      <c r="X22" s="86">
        <f t="shared" si="1"/>
        <v>2.7525111402739728E-2</v>
      </c>
      <c r="Y22" s="86">
        <f t="shared" si="1"/>
        <v>-2.7525111402739728E-2</v>
      </c>
      <c r="Z22" s="86">
        <f t="shared" si="1"/>
        <v>0</v>
      </c>
      <c r="AA22" s="86">
        <f t="shared" si="1"/>
        <v>0.30027396959999997</v>
      </c>
      <c r="AB22" s="86">
        <f t="shared" si="1"/>
        <v>-0.30027396959999997</v>
      </c>
      <c r="AC22" s="146"/>
    </row>
    <row r="23" spans="2:34" x14ac:dyDescent="0.25">
      <c r="B23" s="12" t="s">
        <v>21</v>
      </c>
      <c r="C23" s="12" t="s">
        <v>22</v>
      </c>
      <c r="D23" s="3" t="s">
        <v>10</v>
      </c>
      <c r="E23" s="30">
        <v>0</v>
      </c>
      <c r="F23" s="456">
        <f>IF(AND(DAY(Postup!$H$24)=1,MONTH(Postup!$H$24)=1),Provozování!E28,Provozování!G28)</f>
        <v>2.7525111402739728E-2</v>
      </c>
      <c r="G23" s="30">
        <v>0</v>
      </c>
      <c r="H23" s="457">
        <f>IF(AND(DAY(Postup!$H$24)=1,MONTH(Postup!$H$24)=1),Provozování!F28,Provozování!H28)</f>
        <v>0.30027396959999997</v>
      </c>
      <c r="K23" s="12" t="s">
        <v>21</v>
      </c>
      <c r="L23" s="12" t="s">
        <v>22</v>
      </c>
      <c r="M23" s="3" t="s">
        <v>10</v>
      </c>
      <c r="N23" s="30">
        <v>0</v>
      </c>
      <c r="O23" s="456">
        <f>IF(Provozování!$I$16="Neaktivní",0,Provozování!I28)</f>
        <v>0</v>
      </c>
      <c r="P23" s="30">
        <v>0</v>
      </c>
      <c r="Q23" s="461">
        <f>IF(Provozování!$I$16="Neaktivní",0,Provozování!J28)</f>
        <v>0</v>
      </c>
      <c r="T23" s="12" t="s">
        <v>21</v>
      </c>
      <c r="U23" s="12" t="s">
        <v>22</v>
      </c>
      <c r="V23" s="3" t="s">
        <v>10</v>
      </c>
      <c r="W23" s="462">
        <v>0</v>
      </c>
      <c r="X23" s="44">
        <f>IF(Provozování!$I$16="Neaktivní",F23,O23)</f>
        <v>2.7525111402739728E-2</v>
      </c>
      <c r="Y23" s="44">
        <f>W23-X23</f>
        <v>-2.7525111402739728E-2</v>
      </c>
      <c r="Z23" s="464">
        <v>0</v>
      </c>
      <c r="AA23" s="44">
        <f>IF(Provozování!$I$16="Neaktivní",H23,Q23)</f>
        <v>0.30027396959999997</v>
      </c>
      <c r="AB23" s="30">
        <f>Z23-AA23</f>
        <v>-0.30027396959999997</v>
      </c>
      <c r="AC23" s="146"/>
    </row>
    <row r="24" spans="2:34" x14ac:dyDescent="0.25">
      <c r="B24" s="12" t="s">
        <v>23</v>
      </c>
      <c r="C24" s="12" t="s">
        <v>24</v>
      </c>
      <c r="D24" s="3" t="s">
        <v>10</v>
      </c>
      <c r="E24" s="87">
        <v>0</v>
      </c>
      <c r="F24" s="456">
        <f>IF(AND(DAY(Postup!$H$24)=1,MONTH(Postup!$H$24)=1),Provozování!E29,Provozování!G29)</f>
        <v>0</v>
      </c>
      <c r="G24" s="87">
        <v>0</v>
      </c>
      <c r="H24" s="457">
        <f>IF(AND(DAY(Postup!$H$24)=1,MONTH(Postup!$H$24)=1),Provozování!F29,Provozování!H29)</f>
        <v>0</v>
      </c>
      <c r="K24" s="12" t="s">
        <v>23</v>
      </c>
      <c r="L24" s="12" t="s">
        <v>24</v>
      </c>
      <c r="M24" s="3" t="s">
        <v>10</v>
      </c>
      <c r="N24" s="87">
        <v>0</v>
      </c>
      <c r="O24" s="456">
        <f>IF(Provozování!$I$16="Neaktivní",0,Provozování!I29)</f>
        <v>0</v>
      </c>
      <c r="P24" s="87">
        <v>0</v>
      </c>
      <c r="Q24" s="461">
        <f>IF(Provozování!$I$16="Neaktivní",0,Provozování!J29)</f>
        <v>0</v>
      </c>
      <c r="T24" s="12" t="s">
        <v>23</v>
      </c>
      <c r="U24" s="12" t="s">
        <v>24</v>
      </c>
      <c r="V24" s="3" t="s">
        <v>10</v>
      </c>
      <c r="W24" s="463">
        <v>0</v>
      </c>
      <c r="X24" s="44">
        <f>IF(Provozování!$I$16="Neaktivní",F24,O24)</f>
        <v>0</v>
      </c>
      <c r="Y24" s="44">
        <f>W24-X24</f>
        <v>0</v>
      </c>
      <c r="Z24" s="465">
        <v>0</v>
      </c>
      <c r="AA24" s="44">
        <f>IF(Provozování!$I$16="Neaktivní",H24,Q24)</f>
        <v>0</v>
      </c>
      <c r="AB24" s="30">
        <f>Z24-AA24</f>
        <v>0</v>
      </c>
      <c r="AC24" s="146"/>
    </row>
    <row r="25" spans="2:34" x14ac:dyDescent="0.25">
      <c r="B25" s="9" t="s">
        <v>25</v>
      </c>
      <c r="C25" s="10" t="s">
        <v>400</v>
      </c>
      <c r="D25" s="11" t="s">
        <v>10</v>
      </c>
      <c r="E25" s="41">
        <f>SUM(E26:E27)</f>
        <v>0</v>
      </c>
      <c r="F25" s="41">
        <f>SUM(F26:F27)</f>
        <v>5.0045612054794523E-3</v>
      </c>
      <c r="G25" s="41">
        <f>SUM(G26:G27)</f>
        <v>0</v>
      </c>
      <c r="H25" s="86">
        <f>SUM(H26:H27)</f>
        <v>0.18767123287671234</v>
      </c>
      <c r="K25" s="9" t="s">
        <v>25</v>
      </c>
      <c r="L25" s="10" t="s">
        <v>400</v>
      </c>
      <c r="M25" s="11" t="s">
        <v>10</v>
      </c>
      <c r="N25" s="41">
        <f>SUM(N26:N27)</f>
        <v>0</v>
      </c>
      <c r="O25" s="41">
        <f>SUM(O26:O27)</f>
        <v>0</v>
      </c>
      <c r="P25" s="41">
        <f>SUM(P26:P27)</f>
        <v>0</v>
      </c>
      <c r="Q25" s="86">
        <f>SUM(Q26:Q27)</f>
        <v>0</v>
      </c>
      <c r="T25" s="9" t="s">
        <v>25</v>
      </c>
      <c r="U25" s="10" t="s">
        <v>400</v>
      </c>
      <c r="V25" s="11" t="s">
        <v>10</v>
      </c>
      <c r="W25" s="86">
        <f t="shared" ref="W25:AB25" si="2">SUM(W26:W27)</f>
        <v>0</v>
      </c>
      <c r="X25" s="86">
        <f t="shared" si="2"/>
        <v>5.0045612054794523E-3</v>
      </c>
      <c r="Y25" s="86">
        <f t="shared" si="2"/>
        <v>-5.0045612054794523E-3</v>
      </c>
      <c r="Z25" s="86">
        <f t="shared" si="2"/>
        <v>0</v>
      </c>
      <c r="AA25" s="86">
        <f t="shared" si="2"/>
        <v>0.18767123287671234</v>
      </c>
      <c r="AB25" s="86">
        <f t="shared" si="2"/>
        <v>-0.18767123287671234</v>
      </c>
      <c r="AC25" s="146"/>
      <c r="AD25" s="146"/>
    </row>
    <row r="26" spans="2:34" x14ac:dyDescent="0.25">
      <c r="B26" s="12" t="s">
        <v>26</v>
      </c>
      <c r="C26" s="13" t="s">
        <v>390</v>
      </c>
      <c r="D26" s="3" t="s">
        <v>10</v>
      </c>
      <c r="E26" s="44">
        <v>0</v>
      </c>
      <c r="F26" s="456">
        <f>IF(AND(DAY(Postup!$H$24)=1,MONTH(Postup!$H$24)=1),Provozování!E31,Provozování!G31)</f>
        <v>5.0045612054794523E-3</v>
      </c>
      <c r="G26" s="44">
        <v>0</v>
      </c>
      <c r="H26" s="457">
        <f>IF(AND(DAY(Postup!$H$24)=1,MONTH(Postup!$H$24)=1),Provozování!F31,Provozování!H31)</f>
        <v>0.15013698630136987</v>
      </c>
      <c r="K26" s="12" t="s">
        <v>26</v>
      </c>
      <c r="L26" s="13" t="s">
        <v>390</v>
      </c>
      <c r="M26" s="3" t="s">
        <v>10</v>
      </c>
      <c r="N26" s="44">
        <v>0</v>
      </c>
      <c r="O26" s="456">
        <f>IF(Provozování!$I$16="Neaktivní",0,Provozování!I31)</f>
        <v>0</v>
      </c>
      <c r="P26" s="44">
        <v>0</v>
      </c>
      <c r="Q26" s="461">
        <f>IF(Provozování!$I$16="Neaktivní",0,Provozování!J31)</f>
        <v>0</v>
      </c>
      <c r="T26" s="12" t="s">
        <v>26</v>
      </c>
      <c r="U26" s="13" t="s">
        <v>390</v>
      </c>
      <c r="V26" s="3" t="s">
        <v>10</v>
      </c>
      <c r="W26" s="462">
        <v>0</v>
      </c>
      <c r="X26" s="44">
        <f>IF(Provozování!$I$16="Neaktivní",F26,O26)</f>
        <v>5.0045612054794523E-3</v>
      </c>
      <c r="Y26" s="44">
        <f>W26-X26</f>
        <v>-5.0045612054794523E-3</v>
      </c>
      <c r="Z26" s="462">
        <v>0</v>
      </c>
      <c r="AA26" s="44">
        <f>IF(Provozování!$I$16="Neaktivní",H26,Q26)</f>
        <v>0.15013698630136987</v>
      </c>
      <c r="AB26" s="30">
        <f>Z26-AA26</f>
        <v>-0.15013698630136987</v>
      </c>
      <c r="AC26" s="146"/>
      <c r="AD26" s="146"/>
    </row>
    <row r="27" spans="2:34" x14ac:dyDescent="0.25">
      <c r="B27" s="12" t="s">
        <v>27</v>
      </c>
      <c r="C27" s="13" t="s">
        <v>401</v>
      </c>
      <c r="D27" s="3" t="s">
        <v>10</v>
      </c>
      <c r="E27" s="44">
        <v>0</v>
      </c>
      <c r="F27" s="456">
        <f>IF(AND(DAY(Postup!$H$24)=1,MONTH(Postup!$H$24)=1),Provozování!E32,Provozování!G32)</f>
        <v>0</v>
      </c>
      <c r="G27" s="44">
        <v>0</v>
      </c>
      <c r="H27" s="457">
        <f>IF(AND(DAY(Postup!$H$24)=1,MONTH(Postup!$H$24)=1),Provozování!F32,Provozování!H32)</f>
        <v>3.7534246575342468E-2</v>
      </c>
      <c r="K27" s="12" t="s">
        <v>27</v>
      </c>
      <c r="L27" s="13" t="s">
        <v>401</v>
      </c>
      <c r="M27" s="3" t="s">
        <v>10</v>
      </c>
      <c r="N27" s="44">
        <v>0</v>
      </c>
      <c r="O27" s="456">
        <f>IF(Provozování!$I$16="Neaktivní",0,Provozování!I32)</f>
        <v>0</v>
      </c>
      <c r="P27" s="44">
        <v>0</v>
      </c>
      <c r="Q27" s="461">
        <f>IF(Provozování!$I$16="Neaktivní",0,Provozování!J32)</f>
        <v>0</v>
      </c>
      <c r="T27" s="12" t="s">
        <v>27</v>
      </c>
      <c r="U27" s="13" t="s">
        <v>401</v>
      </c>
      <c r="V27" s="3" t="s">
        <v>10</v>
      </c>
      <c r="W27" s="462">
        <v>0</v>
      </c>
      <c r="X27" s="44">
        <f>IF(Provozování!$I$16="Neaktivní",F27,O27)</f>
        <v>0</v>
      </c>
      <c r="Y27" s="44">
        <f>W27-X27</f>
        <v>0</v>
      </c>
      <c r="Z27" s="462">
        <v>0</v>
      </c>
      <c r="AA27" s="44">
        <f>IF(Provozování!$I$16="Neaktivní",H27,Q27)</f>
        <v>3.7534246575342468E-2</v>
      </c>
      <c r="AB27" s="30">
        <f>Z27-AA27</f>
        <v>-3.7534246575342468E-2</v>
      </c>
      <c r="AC27" s="146"/>
      <c r="AD27" s="146"/>
    </row>
    <row r="28" spans="2:34" x14ac:dyDescent="0.25">
      <c r="B28" s="9" t="s">
        <v>28</v>
      </c>
      <c r="C28" s="10" t="s">
        <v>29</v>
      </c>
      <c r="D28" s="11" t="s">
        <v>10</v>
      </c>
      <c r="E28" s="41">
        <f>SUM(E29:E32)</f>
        <v>0</v>
      </c>
      <c r="F28" s="41">
        <f>SUM(F29:F32)</f>
        <v>0.25072876712328768</v>
      </c>
      <c r="G28" s="41">
        <f>SUM(G29:G32)</f>
        <v>0</v>
      </c>
      <c r="H28" s="86">
        <f>SUM(H29:H32)</f>
        <v>0.68237260273972611</v>
      </c>
      <c r="K28" s="9" t="s">
        <v>28</v>
      </c>
      <c r="L28" s="10" t="s">
        <v>29</v>
      </c>
      <c r="M28" s="11" t="s">
        <v>10</v>
      </c>
      <c r="N28" s="41">
        <f>SUM(N29:N32)</f>
        <v>0</v>
      </c>
      <c r="O28" s="41">
        <f>SUM(O29:O32)</f>
        <v>0</v>
      </c>
      <c r="P28" s="41">
        <f>SUM(P29:P32)</f>
        <v>0</v>
      </c>
      <c r="Q28" s="86">
        <f>SUM(Q29:Q32)</f>
        <v>0</v>
      </c>
      <c r="T28" s="9" t="s">
        <v>28</v>
      </c>
      <c r="U28" s="10" t="s">
        <v>29</v>
      </c>
      <c r="V28" s="11" t="s">
        <v>10</v>
      </c>
      <c r="W28" s="86">
        <f t="shared" ref="W28:AB28" si="3">SUM(W29:W32)</f>
        <v>0.23571506849315069</v>
      </c>
      <c r="X28" s="86">
        <f t="shared" si="3"/>
        <v>0.25072876712328768</v>
      </c>
      <c r="Y28" s="86">
        <f t="shared" si="3"/>
        <v>-1.5013698630136987E-2</v>
      </c>
      <c r="Z28" s="86">
        <f t="shared" si="3"/>
        <v>0.66360547945205484</v>
      </c>
      <c r="AA28" s="86">
        <f t="shared" si="3"/>
        <v>0.68237260273972611</v>
      </c>
      <c r="AB28" s="86">
        <f t="shared" si="3"/>
        <v>-1.8767123287671234E-2</v>
      </c>
      <c r="AC28" s="146"/>
      <c r="AD28" s="146"/>
    </row>
    <row r="29" spans="2:34" x14ac:dyDescent="0.25">
      <c r="B29" s="12" t="s">
        <v>30</v>
      </c>
      <c r="C29" s="12" t="s">
        <v>381</v>
      </c>
      <c r="D29" s="3" t="s">
        <v>10</v>
      </c>
      <c r="E29" s="44">
        <v>0</v>
      </c>
      <c r="F29" s="44">
        <f>IF(AND(DAY(Postup!$H$24)=1,MONTH(Postup!$H$24)=1),Provozování!E34,Provozování!G34)</f>
        <v>0</v>
      </c>
      <c r="G29" s="44">
        <v>0</v>
      </c>
      <c r="H29" s="30">
        <f>IF(AND(DAY(Postup!$H$24)=1,MONTH(Postup!$H$24)=1),Provozování!F34,Provozování!H34)</f>
        <v>0</v>
      </c>
      <c r="K29" s="12" t="s">
        <v>30</v>
      </c>
      <c r="L29" s="12" t="s">
        <v>381</v>
      </c>
      <c r="M29" s="3" t="s">
        <v>10</v>
      </c>
      <c r="N29" s="44">
        <v>0</v>
      </c>
      <c r="O29" s="44">
        <f>IF(Provozování!$I$16="Neaktivní",0,Provozování!I34)</f>
        <v>0</v>
      </c>
      <c r="P29" s="44">
        <v>0</v>
      </c>
      <c r="Q29" s="53">
        <f>IF(Provozování!$I$16="Neaktivní",0,Provozování!J34)</f>
        <v>0</v>
      </c>
      <c r="T29" s="12" t="s">
        <v>30</v>
      </c>
      <c r="U29" s="12" t="s">
        <v>381</v>
      </c>
      <c r="V29" s="3" t="s">
        <v>10</v>
      </c>
      <c r="W29" s="462">
        <v>0</v>
      </c>
      <c r="X29" s="44">
        <f>IF(Provozování!$I$16="Neaktivní",F29,O29)</f>
        <v>0</v>
      </c>
      <c r="Y29" s="44">
        <f>W29-X29</f>
        <v>0</v>
      </c>
      <c r="Z29" s="462">
        <v>0</v>
      </c>
      <c r="AA29" s="44">
        <f>IF(Provozování!$I$16="Neaktivní",H29,Q29)</f>
        <v>0</v>
      </c>
      <c r="AB29" s="30">
        <f>Z29-AA29</f>
        <v>0</v>
      </c>
      <c r="AC29" s="146"/>
      <c r="AD29" s="146"/>
    </row>
    <row r="30" spans="2:34" x14ac:dyDescent="0.25">
      <c r="B30" s="12" t="s">
        <v>32</v>
      </c>
      <c r="C30" s="12" t="s">
        <v>383</v>
      </c>
      <c r="D30" s="3" t="s">
        <v>10</v>
      </c>
      <c r="E30" s="44">
        <v>0</v>
      </c>
      <c r="F30" s="662">
        <f>IF(AND(DAY(Postup!$H$24)=1,MONTH(Postup!$H$24)=1),Provozování!E35,Provozování!G35)</f>
        <v>0</v>
      </c>
      <c r="G30" s="44">
        <v>0</v>
      </c>
      <c r="H30" s="663">
        <f>IF(AND(DAY(Postup!$H$24)=1,MONTH(Postup!$H$24)=1),Provozování!F35,Provozování!H35)</f>
        <v>0</v>
      </c>
      <c r="K30" s="12" t="s">
        <v>32</v>
      </c>
      <c r="L30" s="12" t="s">
        <v>383</v>
      </c>
      <c r="M30" s="3" t="s">
        <v>10</v>
      </c>
      <c r="N30" s="44">
        <v>0</v>
      </c>
      <c r="O30" s="662">
        <f>IF(Provozování!$I$16="Neaktivní",0,Provozování!I35)</f>
        <v>0</v>
      </c>
      <c r="P30" s="44">
        <v>0</v>
      </c>
      <c r="Q30" s="668">
        <f>IF(Provozování!$I$16="Neaktivní",0,Provozování!J35)</f>
        <v>0</v>
      </c>
      <c r="T30" s="12" t="s">
        <v>32</v>
      </c>
      <c r="U30" s="12" t="s">
        <v>383</v>
      </c>
      <c r="V30" s="3" t="s">
        <v>10</v>
      </c>
      <c r="W30" s="640">
        <f>IF(Provozování!$I$16="Aktivní",O30,F30)</f>
        <v>0</v>
      </c>
      <c r="X30" s="44">
        <f>IF(Provozování!$I$16="Neaktivní",F30,O30)</f>
        <v>0</v>
      </c>
      <c r="Y30" s="44">
        <f>W30-X30</f>
        <v>0</v>
      </c>
      <c r="Z30" s="640">
        <f>IF(Provozování!$I$16="Aktivní",Q30,H30)</f>
        <v>0</v>
      </c>
      <c r="AA30" s="44">
        <f>IF(Provozování!$I$16="Neaktivní",H30,Q30)</f>
        <v>0</v>
      </c>
      <c r="AB30" s="30">
        <f>Z30-AA30</f>
        <v>0</v>
      </c>
      <c r="AC30" s="146"/>
      <c r="AD30" s="146"/>
    </row>
    <row r="31" spans="2:34" ht="15" customHeight="1" x14ac:dyDescent="0.25">
      <c r="B31" s="12" t="s">
        <v>33</v>
      </c>
      <c r="C31" s="12" t="s">
        <v>382</v>
      </c>
      <c r="D31" s="3" t="s">
        <v>10</v>
      </c>
      <c r="E31" s="44">
        <v>0</v>
      </c>
      <c r="F31" s="456">
        <f>IF(AND(DAY(Postup!$H$24)=1,MONTH(Postup!$H$24)=1),Provozování!E36,Provozování!G36)</f>
        <v>1.5013698630136987E-2</v>
      </c>
      <c r="G31" s="44">
        <v>0</v>
      </c>
      <c r="H31" s="457">
        <f>IF(AND(DAY(Postup!$H$24)=1,MONTH(Postup!$H$24)=1),Provozování!F36,Provozování!H36)</f>
        <v>1.8767123287671234E-2</v>
      </c>
      <c r="K31" s="12" t="s">
        <v>33</v>
      </c>
      <c r="L31" s="12" t="s">
        <v>382</v>
      </c>
      <c r="M31" s="3" t="s">
        <v>10</v>
      </c>
      <c r="N31" s="44">
        <v>0</v>
      </c>
      <c r="O31" s="640">
        <f>IF(Provozování!$I$16="Neaktivní",0,Provozování!I36)</f>
        <v>0</v>
      </c>
      <c r="P31" s="44">
        <v>0</v>
      </c>
      <c r="Q31" s="772">
        <f>IF(Provozování!$I$16="Neaktivní",0,Provozování!J36)</f>
        <v>0</v>
      </c>
      <c r="T31" s="12" t="s">
        <v>33</v>
      </c>
      <c r="U31" s="12" t="s">
        <v>382</v>
      </c>
      <c r="V31" s="3" t="s">
        <v>10</v>
      </c>
      <c r="W31" s="462">
        <v>0</v>
      </c>
      <c r="X31" s="44">
        <f>IF(Provozování!$I$16="Neaktivní",F31,O31)</f>
        <v>1.5013698630136987E-2</v>
      </c>
      <c r="Y31" s="44">
        <f>W31-X31</f>
        <v>-1.5013698630136987E-2</v>
      </c>
      <c r="Z31" s="462">
        <v>0</v>
      </c>
      <c r="AA31" s="44">
        <f>IF(Provozování!$I$16="Neaktivní",H31,Q31)</f>
        <v>1.8767123287671234E-2</v>
      </c>
      <c r="AB31" s="30">
        <f>Z31-AA31</f>
        <v>-1.8767123287671234E-2</v>
      </c>
      <c r="AC31" s="146"/>
      <c r="AD31" s="146"/>
    </row>
    <row r="32" spans="2:34" ht="15" customHeight="1" x14ac:dyDescent="0.25">
      <c r="B32" s="12" t="s">
        <v>34</v>
      </c>
      <c r="C32" s="497" t="s">
        <v>384</v>
      </c>
      <c r="D32" s="3" t="s">
        <v>10</v>
      </c>
      <c r="E32" s="44">
        <v>0</v>
      </c>
      <c r="F32" s="666">
        <f>IF(AND(DAY(Postup!$H$24)=1,MONTH(Postup!$H$24)=1),Provozování!E37,Provozování!G37)</f>
        <v>0.23571506849315069</v>
      </c>
      <c r="G32" s="44">
        <v>0</v>
      </c>
      <c r="H32" s="667">
        <f>IF(AND(DAY(Postup!$H$24)=1,MONTH(Postup!$H$24)=1),Provozování!F37,Provozování!H37)</f>
        <v>0.66360547945205484</v>
      </c>
      <c r="K32" s="12" t="s">
        <v>34</v>
      </c>
      <c r="L32" s="497" t="s">
        <v>384</v>
      </c>
      <c r="M32" s="3" t="s">
        <v>10</v>
      </c>
      <c r="N32" s="44">
        <v>0</v>
      </c>
      <c r="O32" s="666">
        <f>IF(Provozování!$I$16="Neaktivní",0,Provozování!I37)</f>
        <v>0</v>
      </c>
      <c r="P32" s="44">
        <v>0</v>
      </c>
      <c r="Q32" s="667">
        <f>IF(Provozování!$I$16="Neaktivní",0,Provozování!J37)</f>
        <v>0</v>
      </c>
      <c r="T32" s="12" t="s">
        <v>34</v>
      </c>
      <c r="U32" s="497" t="s">
        <v>384</v>
      </c>
      <c r="V32" s="3" t="s">
        <v>10</v>
      </c>
      <c r="W32" s="640">
        <f>IF(Provozování!$I$16="Aktivní",O32,F32)</f>
        <v>0.23571506849315069</v>
      </c>
      <c r="X32" s="337">
        <f>IF(Provozování!$I$16="Neaktivní",F32,O32)</f>
        <v>0.23571506849315069</v>
      </c>
      <c r="Y32" s="337">
        <f>W32-X32</f>
        <v>0</v>
      </c>
      <c r="Z32" s="640">
        <f>IF(Provozování!$I$16="Aktivní",Q32,H32)</f>
        <v>0.66360547945205484</v>
      </c>
      <c r="AA32" s="337">
        <f>IF(Provozování!$I$16="Neaktivní",H32,Q32)</f>
        <v>0.66360547945205484</v>
      </c>
      <c r="AB32" s="334">
        <f>Z32-AA32</f>
        <v>0</v>
      </c>
      <c r="AC32" s="146"/>
      <c r="AD32" s="146"/>
      <c r="AE32" s="1073" t="s">
        <v>291</v>
      </c>
      <c r="AF32" s="1074"/>
      <c r="AG32" s="339">
        <f>Y14</f>
        <v>2024</v>
      </c>
      <c r="AH32" s="339">
        <f>AG32</f>
        <v>2024</v>
      </c>
    </row>
    <row r="33" spans="2:41" ht="18" customHeight="1" x14ac:dyDescent="0.25">
      <c r="B33" s="9" t="s">
        <v>35</v>
      </c>
      <c r="C33" s="10" t="s">
        <v>387</v>
      </c>
      <c r="D33" s="11" t="s">
        <v>10</v>
      </c>
      <c r="E33" s="41">
        <f>SUM(E34:E36)</f>
        <v>0</v>
      </c>
      <c r="F33" s="41">
        <f>SUM(F34:F36)</f>
        <v>0.13262095452054795</v>
      </c>
      <c r="G33" s="41">
        <f>SUM(G34:G36)</f>
        <v>0</v>
      </c>
      <c r="H33" s="86">
        <f>SUM(H34:H36)</f>
        <v>0.25147945205479455</v>
      </c>
      <c r="K33" s="9" t="s">
        <v>35</v>
      </c>
      <c r="L33" s="10" t="s">
        <v>387</v>
      </c>
      <c r="M33" s="11" t="s">
        <v>10</v>
      </c>
      <c r="N33" s="41">
        <f>SUM(N34:N36)</f>
        <v>0</v>
      </c>
      <c r="O33" s="41">
        <f>SUM(O34:O36)</f>
        <v>0</v>
      </c>
      <c r="P33" s="41">
        <f>SUM(P34:P36)</f>
        <v>0</v>
      </c>
      <c r="Q33" s="86">
        <f>SUM(Q34:Q36)</f>
        <v>0</v>
      </c>
      <c r="T33" s="9" t="s">
        <v>35</v>
      </c>
      <c r="U33" s="10" t="s">
        <v>387</v>
      </c>
      <c r="V33" s="11" t="s">
        <v>10</v>
      </c>
      <c r="W33" s="86">
        <f t="shared" ref="W33:AB33" si="4">SUM(W34:W36)</f>
        <v>0</v>
      </c>
      <c r="X33" s="86">
        <f t="shared" si="4"/>
        <v>0.13262095452054795</v>
      </c>
      <c r="Y33" s="86">
        <f t="shared" si="4"/>
        <v>-0.13262095452054795</v>
      </c>
      <c r="Z33" s="86">
        <f t="shared" si="4"/>
        <v>0</v>
      </c>
      <c r="AA33" s="86">
        <f t="shared" si="4"/>
        <v>0.25147945205479455</v>
      </c>
      <c r="AB33" s="86">
        <f t="shared" si="4"/>
        <v>-0.25147945205479455</v>
      </c>
      <c r="AC33" s="146"/>
      <c r="AD33" s="146"/>
      <c r="AE33" s="1075"/>
      <c r="AF33" s="1076"/>
      <c r="AG33" s="1072" t="s">
        <v>238</v>
      </c>
      <c r="AH33" s="1072" t="s">
        <v>239</v>
      </c>
    </row>
    <row r="34" spans="2:41" ht="15" customHeight="1" x14ac:dyDescent="0.25">
      <c r="B34" s="12" t="s">
        <v>37</v>
      </c>
      <c r="C34" s="13" t="s">
        <v>38</v>
      </c>
      <c r="D34" s="3" t="s">
        <v>10</v>
      </c>
      <c r="E34" s="44">
        <v>0</v>
      </c>
      <c r="F34" s="337">
        <v>0</v>
      </c>
      <c r="G34" s="44">
        <v>0</v>
      </c>
      <c r="H34" s="30">
        <f>IF(AND(DAY(Postup!$H$24)=1,MONTH(Postup!$H$24)=1),Provozování!F39,Provozování!H39)</f>
        <v>7.5068493150684933E-3</v>
      </c>
      <c r="K34" s="12" t="s">
        <v>37</v>
      </c>
      <c r="L34" s="13" t="s">
        <v>38</v>
      </c>
      <c r="M34" s="3" t="s">
        <v>10</v>
      </c>
      <c r="N34" s="44">
        <v>0</v>
      </c>
      <c r="O34" s="337">
        <v>0</v>
      </c>
      <c r="P34" s="44">
        <v>0</v>
      </c>
      <c r="Q34" s="53">
        <f>IF(Provozování!$I$16="Neaktivní",0,Provozování!J39)</f>
        <v>0</v>
      </c>
      <c r="T34" s="12" t="s">
        <v>37</v>
      </c>
      <c r="U34" s="13" t="s">
        <v>38</v>
      </c>
      <c r="V34" s="3" t="s">
        <v>10</v>
      </c>
      <c r="W34" s="337">
        <v>0</v>
      </c>
      <c r="X34" s="337">
        <v>0</v>
      </c>
      <c r="Y34" s="337">
        <v>0</v>
      </c>
      <c r="Z34" s="462">
        <v>0</v>
      </c>
      <c r="AA34" s="44">
        <f>IF(Provozování!$I$16="Neaktivní",H34,Q34)</f>
        <v>7.5068493150684933E-3</v>
      </c>
      <c r="AB34" s="30">
        <f t="shared" ref="AB34:AB40" si="5">Z34-AA34</f>
        <v>-7.5068493150684933E-3</v>
      </c>
      <c r="AC34" s="146"/>
      <c r="AD34" s="146"/>
      <c r="AE34" s="1077"/>
      <c r="AF34" s="1078"/>
      <c r="AG34" s="1000"/>
      <c r="AH34" s="1000"/>
    </row>
    <row r="35" spans="2:41" x14ac:dyDescent="0.25">
      <c r="B35" s="12" t="s">
        <v>39</v>
      </c>
      <c r="C35" s="12" t="s">
        <v>40</v>
      </c>
      <c r="D35" s="3" t="s">
        <v>10</v>
      </c>
      <c r="E35" s="44">
        <v>0</v>
      </c>
      <c r="F35" s="456">
        <f>IF(AND(DAY(Postup!$H$24)=1,MONTH(Postup!$H$24)=1),Provozování!E40,Provozování!G40)</f>
        <v>4.2538762739726024E-2</v>
      </c>
      <c r="G35" s="44">
        <v>0</v>
      </c>
      <c r="H35" s="457">
        <f>IF(AND(DAY(Postup!$H$24)=1,MONTH(Postup!$H$24)=1),Provozování!F40,Provozování!H40)</f>
        <v>0.16890410958904112</v>
      </c>
      <c r="K35" s="12" t="s">
        <v>39</v>
      </c>
      <c r="L35" s="12" t="s">
        <v>40</v>
      </c>
      <c r="M35" s="3" t="s">
        <v>10</v>
      </c>
      <c r="N35" s="44">
        <v>0</v>
      </c>
      <c r="O35" s="456">
        <f>IF(Provozování!$I$16="Neaktivní",0,Provozování!I40)</f>
        <v>0</v>
      </c>
      <c r="P35" s="44">
        <v>0</v>
      </c>
      <c r="Q35" s="461">
        <f>IF(Provozování!$I$16="Neaktivní",0,Provozování!J40)</f>
        <v>0</v>
      </c>
      <c r="T35" s="12" t="s">
        <v>39</v>
      </c>
      <c r="U35" s="12" t="s">
        <v>40</v>
      </c>
      <c r="V35" s="3" t="s">
        <v>10</v>
      </c>
      <c r="W35" s="462">
        <v>0</v>
      </c>
      <c r="X35" s="44">
        <f>IF(Provozování!$I$16="Neaktivní",F35,O35)</f>
        <v>4.2538762739726024E-2</v>
      </c>
      <c r="Y35" s="44">
        <f t="shared" ref="Y35:Y40" si="6">W35-X35</f>
        <v>-4.2538762739726024E-2</v>
      </c>
      <c r="Z35" s="462">
        <v>0</v>
      </c>
      <c r="AA35" s="44">
        <f>IF(Provozování!$I$16="Neaktivní",H35,Q35)</f>
        <v>0.16890410958904112</v>
      </c>
      <c r="AB35" s="30">
        <f t="shared" si="5"/>
        <v>-0.16890410958904112</v>
      </c>
      <c r="AC35" s="146"/>
      <c r="AD35" s="146"/>
      <c r="AE35" s="12" t="s">
        <v>326</v>
      </c>
      <c r="AF35" s="12" t="s">
        <v>329</v>
      </c>
      <c r="AG35" s="423">
        <f>Z70</f>
        <v>24.569997026129698</v>
      </c>
      <c r="AH35" s="423">
        <f>AB70</f>
        <v>49.181823772727277</v>
      </c>
    </row>
    <row r="36" spans="2:41" x14ac:dyDescent="0.25">
      <c r="B36" s="12" t="s">
        <v>41</v>
      </c>
      <c r="C36" s="13" t="s">
        <v>42</v>
      </c>
      <c r="D36" s="3" t="s">
        <v>10</v>
      </c>
      <c r="E36" s="44">
        <v>0</v>
      </c>
      <c r="F36" s="456">
        <f>IF(AND(DAY(Postup!$H$24)=1,MONTH(Postup!$H$24)=1),Provozování!E41,Provozování!G41)</f>
        <v>9.0082191780821913E-2</v>
      </c>
      <c r="G36" s="44">
        <v>0</v>
      </c>
      <c r="H36" s="457">
        <f>IF(AND(DAY(Postup!$H$24)=1,MONTH(Postup!$H$24)=1),Provozování!F41,Provozování!H41)</f>
        <v>7.5068493150684937E-2</v>
      </c>
      <c r="K36" s="12" t="s">
        <v>41</v>
      </c>
      <c r="L36" s="13" t="s">
        <v>42</v>
      </c>
      <c r="M36" s="3" t="s">
        <v>10</v>
      </c>
      <c r="N36" s="44">
        <v>0</v>
      </c>
      <c r="O36" s="456">
        <f>IF(Provozování!$I$16="Neaktivní",0,Provozování!I41)</f>
        <v>0</v>
      </c>
      <c r="P36" s="44">
        <v>0</v>
      </c>
      <c r="Q36" s="461">
        <f>IF(Provozování!$I$16="Neaktivní",0,Provozování!J41)</f>
        <v>0</v>
      </c>
      <c r="T36" s="12" t="s">
        <v>41</v>
      </c>
      <c r="U36" s="13" t="s">
        <v>42</v>
      </c>
      <c r="V36" s="3" t="s">
        <v>10</v>
      </c>
      <c r="W36" s="462">
        <v>0</v>
      </c>
      <c r="X36" s="44">
        <f>IF(Provozování!$I$16="Neaktivní",F36,O36)</f>
        <v>9.0082191780821913E-2</v>
      </c>
      <c r="Y36" s="44">
        <f t="shared" si="6"/>
        <v>-9.0082191780821913E-2</v>
      </c>
      <c r="Z36" s="462">
        <v>0</v>
      </c>
      <c r="AA36" s="44">
        <f>IF(Provozování!$I$16="Neaktivní",H36,Q36)</f>
        <v>7.5068493150684937E-2</v>
      </c>
      <c r="AB36" s="30">
        <f t="shared" si="5"/>
        <v>-7.5068493150684937E-2</v>
      </c>
      <c r="AC36" s="146"/>
      <c r="AD36" s="146"/>
      <c r="AE36" s="12" t="s">
        <v>327</v>
      </c>
      <c r="AF36" s="13" t="s">
        <v>331</v>
      </c>
      <c r="AG36" s="270">
        <f>Y69</f>
        <v>0</v>
      </c>
      <c r="AH36" s="270">
        <f>AA69</f>
        <v>0</v>
      </c>
    </row>
    <row r="37" spans="2:41" x14ac:dyDescent="0.25">
      <c r="B37" s="9" t="s">
        <v>43</v>
      </c>
      <c r="C37" s="10" t="s">
        <v>44</v>
      </c>
      <c r="D37" s="11" t="s">
        <v>10</v>
      </c>
      <c r="E37" s="44">
        <v>0</v>
      </c>
      <c r="F37" s="456">
        <f>IF(AND(DAY(Postup!$H$24)=1,MONTH(Postup!$H$24)=1),Provozování!E42,Provozování!G42)</f>
        <v>0</v>
      </c>
      <c r="G37" s="44">
        <v>0</v>
      </c>
      <c r="H37" s="457">
        <f>IF(AND(DAY(Postup!$H$24)=1,MONTH(Postup!$H$24)=1),Provozování!F42,Provozování!H42)</f>
        <v>0</v>
      </c>
      <c r="K37" s="9" t="s">
        <v>43</v>
      </c>
      <c r="L37" s="10" t="s">
        <v>44</v>
      </c>
      <c r="M37" s="11" t="s">
        <v>10</v>
      </c>
      <c r="N37" s="44">
        <v>0</v>
      </c>
      <c r="O37" s="456">
        <f>IF(Provozování!$I$16="Neaktivní",0,Provozování!I42)</f>
        <v>0</v>
      </c>
      <c r="P37" s="44">
        <v>0</v>
      </c>
      <c r="Q37" s="461">
        <f>IF(Provozování!$I$16="Neaktivní",0,Provozování!J42)</f>
        <v>0</v>
      </c>
      <c r="T37" s="9" t="s">
        <v>43</v>
      </c>
      <c r="U37" s="10" t="s">
        <v>44</v>
      </c>
      <c r="V37" s="11" t="s">
        <v>10</v>
      </c>
      <c r="W37" s="462">
        <v>0</v>
      </c>
      <c r="X37" s="44">
        <f>IF(Provozování!$I$16="Neaktivní",F37,O37)</f>
        <v>0</v>
      </c>
      <c r="Y37" s="44">
        <f t="shared" si="6"/>
        <v>0</v>
      </c>
      <c r="Z37" s="462">
        <v>0</v>
      </c>
      <c r="AA37" s="44">
        <f>IF(Provozování!$I$16="Neaktivní",H37,Q37)</f>
        <v>0</v>
      </c>
      <c r="AB37" s="30">
        <f t="shared" si="5"/>
        <v>0</v>
      </c>
      <c r="AC37" s="146"/>
      <c r="AD37" s="146"/>
      <c r="AE37" s="12" t="s">
        <v>328</v>
      </c>
      <c r="AF37" s="13" t="s">
        <v>330</v>
      </c>
      <c r="AG37" s="270">
        <f>Z69</f>
        <v>2.5022828547945207E-2</v>
      </c>
      <c r="AH37" s="270">
        <f>AB69</f>
        <v>3.3030136986301369E-2</v>
      </c>
    </row>
    <row r="38" spans="2:41" x14ac:dyDescent="0.25">
      <c r="B38" s="9" t="s">
        <v>45</v>
      </c>
      <c r="C38" s="10" t="s">
        <v>388</v>
      </c>
      <c r="D38" s="11" t="s">
        <v>10</v>
      </c>
      <c r="E38" s="44">
        <v>0</v>
      </c>
      <c r="F38" s="456">
        <f>IF(AND(DAY(Postup!$H$24)=1,MONTH(Postup!$H$24)=1),Provozování!E43,Provozování!G43)</f>
        <v>0</v>
      </c>
      <c r="G38" s="44">
        <v>0</v>
      </c>
      <c r="H38" s="457">
        <f>IF(AND(DAY(Postup!$H$24)=1,MONTH(Postup!$H$24)=1),Provozování!F43,Provozování!H43)</f>
        <v>0</v>
      </c>
      <c r="K38" s="9" t="s">
        <v>45</v>
      </c>
      <c r="L38" s="10" t="s">
        <v>388</v>
      </c>
      <c r="M38" s="11" t="s">
        <v>10</v>
      </c>
      <c r="N38" s="44">
        <v>0</v>
      </c>
      <c r="O38" s="456">
        <f>IF(Provozování!$I$16="Neaktivní",0,Provozování!I43)</f>
        <v>0</v>
      </c>
      <c r="P38" s="44">
        <v>0</v>
      </c>
      <c r="Q38" s="461">
        <f>IF(Provozování!$I$16="Neaktivní",0,Provozování!J43)</f>
        <v>0</v>
      </c>
      <c r="T38" s="9" t="s">
        <v>45</v>
      </c>
      <c r="U38" s="10" t="s">
        <v>388</v>
      </c>
      <c r="V38" s="11" t="s">
        <v>10</v>
      </c>
      <c r="W38" s="462">
        <v>0</v>
      </c>
      <c r="X38" s="44">
        <f>IF(Provozování!$I$16="Neaktivní",F38,O38)</f>
        <v>0</v>
      </c>
      <c r="Y38" s="44">
        <f>ABS(W38)-ABS(X38)</f>
        <v>0</v>
      </c>
      <c r="Z38" s="462">
        <v>0</v>
      </c>
      <c r="AA38" s="44">
        <f>IF(Provozování!$I$16="Neaktivní",H38,Q38)</f>
        <v>0</v>
      </c>
      <c r="AB38" s="30">
        <f>ABS(Z38)-ABS(AA38)</f>
        <v>0</v>
      </c>
      <c r="AC38" s="146"/>
      <c r="AD38" s="146"/>
      <c r="AE38" s="12" t="s">
        <v>332</v>
      </c>
      <c r="AF38" s="12" t="s">
        <v>340</v>
      </c>
      <c r="AG38" s="270">
        <f>X42-(X30+X32)</f>
        <v>0.36107939374909581</v>
      </c>
      <c r="AH38" s="270">
        <f>AA42-(AA30+AA32)</f>
        <v>0.8858081951561646</v>
      </c>
    </row>
    <row r="39" spans="2:41" x14ac:dyDescent="0.25">
      <c r="B39" s="9" t="s">
        <v>46</v>
      </c>
      <c r="C39" s="10" t="s">
        <v>47</v>
      </c>
      <c r="D39" s="11" t="s">
        <v>10</v>
      </c>
      <c r="E39" s="44">
        <v>0</v>
      </c>
      <c r="F39" s="456">
        <f>IF(AND(DAY(Postup!$H$24)=1,MONTH(Postup!$H$24)=1),Provozování!E44,Provozování!G44)</f>
        <v>5.0295890410958909E-2</v>
      </c>
      <c r="G39" s="44">
        <v>0</v>
      </c>
      <c r="H39" s="457">
        <f>IF(AND(DAY(Postup!$H$24)=1,MONTH(Postup!$H$24)=1),Provozování!F44,Provozování!H44)</f>
        <v>4.5041095890410957E-2</v>
      </c>
      <c r="K39" s="9" t="s">
        <v>46</v>
      </c>
      <c r="L39" s="10" t="s">
        <v>47</v>
      </c>
      <c r="M39" s="11" t="s">
        <v>10</v>
      </c>
      <c r="N39" s="44">
        <v>0</v>
      </c>
      <c r="O39" s="456">
        <f>IF(Provozování!$I$16="Neaktivní",0,Provozování!I44)</f>
        <v>0</v>
      </c>
      <c r="P39" s="44">
        <v>0</v>
      </c>
      <c r="Q39" s="461">
        <f>IF(Provozování!$I$16="Neaktivní",0,Provozování!J44)</f>
        <v>0</v>
      </c>
      <c r="T39" s="9" t="s">
        <v>46</v>
      </c>
      <c r="U39" s="10" t="s">
        <v>47</v>
      </c>
      <c r="V39" s="11" t="s">
        <v>10</v>
      </c>
      <c r="W39" s="462">
        <v>0</v>
      </c>
      <c r="X39" s="44">
        <f>IF(Provozování!$I$16="Neaktivní",F39,O39)</f>
        <v>5.0295890410958909E-2</v>
      </c>
      <c r="Y39" s="44">
        <f t="shared" si="6"/>
        <v>-5.0295890410958909E-2</v>
      </c>
      <c r="Z39" s="462">
        <v>0</v>
      </c>
      <c r="AA39" s="44">
        <f>IF(Provozování!$I$16="Neaktivní",H39,Q39)</f>
        <v>4.5041095890410957E-2</v>
      </c>
      <c r="AB39" s="30">
        <f t="shared" si="5"/>
        <v>-4.5041095890410957E-2</v>
      </c>
      <c r="AC39" s="146"/>
      <c r="AD39" s="146"/>
      <c r="AE39" s="12" t="s">
        <v>333</v>
      </c>
      <c r="AF39" s="12" t="s">
        <v>339</v>
      </c>
      <c r="AG39" s="270">
        <f>W42-(W30+W32)</f>
        <v>0</v>
      </c>
      <c r="AH39" s="270">
        <f>Z42-(Z30+Z32)</f>
        <v>0</v>
      </c>
    </row>
    <row r="40" spans="2:41" x14ac:dyDescent="0.25">
      <c r="B40" s="9" t="s">
        <v>48</v>
      </c>
      <c r="C40" s="10" t="s">
        <v>49</v>
      </c>
      <c r="D40" s="11" t="s">
        <v>10</v>
      </c>
      <c r="E40" s="44">
        <v>0</v>
      </c>
      <c r="F40" s="456">
        <f>IF(AND(DAY(Postup!$H$24)=1,MONTH(Postup!$H$24)=1),Provozování!E45,Provozování!G45)</f>
        <v>4.0536986301369864E-2</v>
      </c>
      <c r="G40" s="44">
        <v>0</v>
      </c>
      <c r="H40" s="457">
        <f>IF(AND(DAY(Postup!$H$24)=1,MONTH(Postup!$H$24)=1),Provozování!F45,Provozování!H45)</f>
        <v>3.7534246575342468E-2</v>
      </c>
      <c r="K40" s="9" t="s">
        <v>48</v>
      </c>
      <c r="L40" s="10" t="s">
        <v>49</v>
      </c>
      <c r="M40" s="11" t="s">
        <v>10</v>
      </c>
      <c r="N40" s="44">
        <v>0</v>
      </c>
      <c r="O40" s="456">
        <f>IF(Provozování!$I$16="Neaktivní",0,Provozování!I45)</f>
        <v>0</v>
      </c>
      <c r="P40" s="44">
        <v>0</v>
      </c>
      <c r="Q40" s="461">
        <f>IF(Provozování!$I$16="Neaktivní",0,Provozování!J45)</f>
        <v>0</v>
      </c>
      <c r="T40" s="9" t="s">
        <v>48</v>
      </c>
      <c r="U40" s="10" t="s">
        <v>49</v>
      </c>
      <c r="V40" s="11" t="s">
        <v>10</v>
      </c>
      <c r="W40" s="462">
        <v>0</v>
      </c>
      <c r="X40" s="44">
        <f>IF(Provozování!$I$16="Neaktivní",F40,O40)</f>
        <v>4.0536986301369864E-2</v>
      </c>
      <c r="Y40" s="44">
        <f t="shared" si="6"/>
        <v>-4.0536986301369864E-2</v>
      </c>
      <c r="Z40" s="462">
        <v>0</v>
      </c>
      <c r="AA40" s="44">
        <f>IF(Provozování!$I$16="Neaktivní",H40,Q40)</f>
        <v>3.7534246575342468E-2</v>
      </c>
      <c r="AB40" s="30">
        <f t="shared" si="5"/>
        <v>-3.7534246575342468E-2</v>
      </c>
      <c r="AC40" s="146"/>
      <c r="AD40" s="146"/>
      <c r="AE40" s="12" t="s">
        <v>345</v>
      </c>
      <c r="AF40" s="12" t="s">
        <v>346</v>
      </c>
      <c r="AG40" s="270">
        <f>Provozování!E$102</f>
        <v>0</v>
      </c>
      <c r="AH40" s="270">
        <f>Provozování!F$102</f>
        <v>0</v>
      </c>
    </row>
    <row r="41" spans="2:41" x14ac:dyDescent="0.25">
      <c r="B41" s="12" t="s">
        <v>386</v>
      </c>
      <c r="C41" s="12" t="s">
        <v>385</v>
      </c>
      <c r="D41" s="3" t="s">
        <v>10</v>
      </c>
      <c r="E41" s="44">
        <v>0</v>
      </c>
      <c r="F41" s="456">
        <f>Provozování!E46</f>
        <v>0.02</v>
      </c>
      <c r="G41" s="44">
        <v>0</v>
      </c>
      <c r="H41" s="457">
        <f>Provozování!F46</f>
        <v>0.02</v>
      </c>
      <c r="K41" s="12" t="s">
        <v>386</v>
      </c>
      <c r="L41" s="12" t="s">
        <v>385</v>
      </c>
      <c r="M41" s="3" t="s">
        <v>10</v>
      </c>
      <c r="N41" s="44"/>
      <c r="O41" s="456">
        <f>IF(Provozování!$I$16="Neaktivní",0,Provozování!I46)</f>
        <v>0</v>
      </c>
      <c r="P41" s="44"/>
      <c r="Q41" s="461">
        <f>IF(Provozování!$I$16="Neaktivní",0,Provozování!J46)</f>
        <v>0</v>
      </c>
      <c r="T41" s="12" t="s">
        <v>386</v>
      </c>
      <c r="U41" s="12" t="s">
        <v>385</v>
      </c>
      <c r="V41" s="3" t="s">
        <v>10</v>
      </c>
      <c r="W41" s="462">
        <v>0</v>
      </c>
      <c r="X41" s="44"/>
      <c r="Y41" s="44"/>
      <c r="Z41" s="462">
        <v>0</v>
      </c>
      <c r="AA41" s="44"/>
      <c r="AB41" s="30"/>
      <c r="AC41" s="146"/>
      <c r="AD41" s="146"/>
      <c r="AE41" s="435" t="s">
        <v>349</v>
      </c>
      <c r="AF41" s="436"/>
      <c r="AG41" s="1066">
        <f>(AG35*AG36-AG35*AG37)+(AG38-AG39)-AG40</f>
        <v>-0.25373142925927128</v>
      </c>
      <c r="AH41" s="1066">
        <f>(AH35*AH36-AH35*AH37)+(AH38-AH39)-AH40</f>
        <v>-0.73867418129315066</v>
      </c>
    </row>
    <row r="42" spans="2:41" x14ac:dyDescent="0.25">
      <c r="B42" s="9" t="s">
        <v>50</v>
      </c>
      <c r="C42" s="10" t="s">
        <v>391</v>
      </c>
      <c r="D42" s="11" t="s">
        <v>10</v>
      </c>
      <c r="E42" s="41">
        <f>E17+E22+E25+E28+E33+E37+E38+E39+E40</f>
        <v>0</v>
      </c>
      <c r="F42" s="41">
        <f>F17+F22+F25+F28+F33+F37+F38+F39+F40</f>
        <v>0.59679446224224653</v>
      </c>
      <c r="G42" s="41">
        <f>G17+G22+G25+G28+G33+G37+G38+G39+G40</f>
        <v>0</v>
      </c>
      <c r="H42" s="86">
        <f>H17+H22+H25+H28+H33+H37+H38+H39+H40</f>
        <v>1.5494136746082194</v>
      </c>
      <c r="K42" s="9" t="s">
        <v>50</v>
      </c>
      <c r="L42" s="10" t="s">
        <v>391</v>
      </c>
      <c r="M42" s="11" t="s">
        <v>10</v>
      </c>
      <c r="N42" s="41">
        <f>N17+N22+N25+N28+N33+N37+N38+N39+N40</f>
        <v>0</v>
      </c>
      <c r="O42" s="41">
        <f>O17+O22+O25+O28+O33+O37+O38+O39+O40</f>
        <v>0</v>
      </c>
      <c r="P42" s="41">
        <f>P17+P22+P25+P28+P33+P37+P38+P39+P40</f>
        <v>0</v>
      </c>
      <c r="Q42" s="86">
        <f>Q17+Q22+Q25+Q28+Q33+Q37+Q38+Q39+Q40</f>
        <v>0</v>
      </c>
      <c r="T42" s="9" t="s">
        <v>50</v>
      </c>
      <c r="U42" s="10" t="s">
        <v>391</v>
      </c>
      <c r="V42" s="11" t="s">
        <v>10</v>
      </c>
      <c r="W42" s="41">
        <f t="shared" ref="W42:AB42" si="7">W17+W22+W25+W28+W33+W37+W38+W39+W40</f>
        <v>0.23571506849315069</v>
      </c>
      <c r="X42" s="41">
        <f t="shared" si="7"/>
        <v>0.59679446224224653</v>
      </c>
      <c r="Y42" s="41">
        <f t="shared" si="7"/>
        <v>-0.36107939374909592</v>
      </c>
      <c r="Z42" s="41">
        <f t="shared" si="7"/>
        <v>0.66360547945205484</v>
      </c>
      <c r="AA42" s="41">
        <f t="shared" si="7"/>
        <v>1.5494136746082194</v>
      </c>
      <c r="AB42" s="86">
        <f t="shared" si="7"/>
        <v>-0.88580819515616449</v>
      </c>
      <c r="AC42" s="146"/>
      <c r="AD42" s="146"/>
      <c r="AE42" s="425" t="s">
        <v>347</v>
      </c>
      <c r="AF42" s="424"/>
      <c r="AG42" s="1067"/>
      <c r="AH42" s="1067"/>
    </row>
    <row r="43" spans="2:41" hidden="1" x14ac:dyDescent="0.25">
      <c r="B43" s="12" t="s">
        <v>389</v>
      </c>
      <c r="C43" s="13" t="s">
        <v>96</v>
      </c>
      <c r="D43" s="3" t="s">
        <v>10</v>
      </c>
      <c r="E43" s="329">
        <v>0</v>
      </c>
      <c r="F43" s="458">
        <v>0</v>
      </c>
      <c r="G43" s="329">
        <v>0</v>
      </c>
      <c r="H43" s="460">
        <v>0</v>
      </c>
      <c r="K43" s="12" t="s">
        <v>389</v>
      </c>
      <c r="L43" s="13" t="s">
        <v>96</v>
      </c>
      <c r="M43" s="3" t="s">
        <v>10</v>
      </c>
      <c r="N43" s="329">
        <v>0</v>
      </c>
      <c r="O43" s="664">
        <f>IF(Provozování!$I$16="Neaktivní",0,F43)</f>
        <v>0</v>
      </c>
      <c r="P43" s="329">
        <v>0</v>
      </c>
      <c r="Q43" s="665">
        <f>IF(Provozování!$I$16="Neaktivní",0,H43)</f>
        <v>0</v>
      </c>
      <c r="T43" s="12" t="s">
        <v>389</v>
      </c>
      <c r="U43" s="13" t="s">
        <v>96</v>
      </c>
      <c r="V43" s="3" t="s">
        <v>10</v>
      </c>
      <c r="W43" s="458">
        <v>0</v>
      </c>
      <c r="X43" s="329">
        <f>F43</f>
        <v>0</v>
      </c>
      <c r="Y43" s="329">
        <f>W43-X43</f>
        <v>0</v>
      </c>
      <c r="Z43" s="458">
        <v>0</v>
      </c>
      <c r="AA43" s="329">
        <f>H43</f>
        <v>0</v>
      </c>
      <c r="AB43" s="330">
        <f>Z43-AA43</f>
        <v>0</v>
      </c>
      <c r="AC43" s="146"/>
      <c r="AD43" s="146"/>
    </row>
    <row r="44" spans="2:41" hidden="1" x14ac:dyDescent="0.25">
      <c r="B44" s="12" t="s">
        <v>389</v>
      </c>
      <c r="C44" s="13" t="s">
        <v>97</v>
      </c>
      <c r="D44" s="3" t="s">
        <v>10</v>
      </c>
      <c r="E44" s="329">
        <v>0</v>
      </c>
      <c r="F44" s="458">
        <v>0</v>
      </c>
      <c r="G44" s="329">
        <v>0</v>
      </c>
      <c r="H44" s="460">
        <v>0</v>
      </c>
      <c r="K44" s="12" t="s">
        <v>389</v>
      </c>
      <c r="L44" s="13" t="s">
        <v>97</v>
      </c>
      <c r="M44" s="3" t="s">
        <v>10</v>
      </c>
      <c r="N44" s="329">
        <v>0</v>
      </c>
      <c r="O44" s="664">
        <f>IF(Provozování!$I$16="Neaktivní",0,F44)</f>
        <v>0</v>
      </c>
      <c r="P44" s="329">
        <v>0</v>
      </c>
      <c r="Q44" s="665">
        <f>IF(Provozování!$I$16="Neaktivní",0,H44)</f>
        <v>0</v>
      </c>
      <c r="T44" s="12" t="s">
        <v>389</v>
      </c>
      <c r="U44" s="13" t="s">
        <v>97</v>
      </c>
      <c r="V44" s="3" t="s">
        <v>10</v>
      </c>
      <c r="W44" s="458">
        <v>0</v>
      </c>
      <c r="X44" s="329">
        <f>F44</f>
        <v>0</v>
      </c>
      <c r="Y44" s="329">
        <f>W44-X44</f>
        <v>0</v>
      </c>
      <c r="Z44" s="458">
        <v>0</v>
      </c>
      <c r="AA44" s="329">
        <f>H44</f>
        <v>0</v>
      </c>
      <c r="AB44" s="330">
        <f>Z44-AA44</f>
        <v>0</v>
      </c>
      <c r="AC44" s="146"/>
      <c r="AD44" s="146"/>
    </row>
    <row r="45" spans="2:41" ht="15" customHeight="1" x14ac:dyDescent="0.25">
      <c r="B45" s="12" t="s">
        <v>51</v>
      </c>
      <c r="C45" s="13" t="s">
        <v>54</v>
      </c>
      <c r="D45" s="3" t="s">
        <v>55</v>
      </c>
      <c r="E45" s="331">
        <v>0</v>
      </c>
      <c r="F45" s="459">
        <v>0</v>
      </c>
      <c r="G45" s="331">
        <v>0</v>
      </c>
      <c r="H45" s="459">
        <v>0</v>
      </c>
      <c r="K45" s="12" t="s">
        <v>51</v>
      </c>
      <c r="L45" s="13" t="s">
        <v>54</v>
      </c>
      <c r="M45" s="3" t="s">
        <v>55</v>
      </c>
      <c r="N45" s="331">
        <v>0</v>
      </c>
      <c r="O45" s="773">
        <f>IF(Provozování!$I$16="Neaktivní",0,F45)</f>
        <v>0</v>
      </c>
      <c r="P45" s="331">
        <v>0</v>
      </c>
      <c r="Q45" s="774">
        <f>IF(Provozování!$I$16="Neaktivní",0,H45)</f>
        <v>0</v>
      </c>
      <c r="T45" s="12" t="s">
        <v>51</v>
      </c>
      <c r="U45" s="13" t="s">
        <v>54</v>
      </c>
      <c r="V45" s="3" t="s">
        <v>55</v>
      </c>
      <c r="W45" s="466">
        <v>0</v>
      </c>
      <c r="X45" s="331">
        <f>F45</f>
        <v>0</v>
      </c>
      <c r="Y45" s="332">
        <f>W45-X45</f>
        <v>0</v>
      </c>
      <c r="Z45" s="466">
        <v>0</v>
      </c>
      <c r="AA45" s="331">
        <f>H45</f>
        <v>0</v>
      </c>
      <c r="AB45" s="332">
        <f>Z45-AA45</f>
        <v>0</v>
      </c>
      <c r="AC45" s="146"/>
      <c r="AD45" s="146"/>
      <c r="AE45" s="1068" t="s">
        <v>337</v>
      </c>
      <c r="AF45" s="1069"/>
      <c r="AG45" s="1072" t="str">
        <f>IF(AG41&gt;0,"úspora",IF(AG41&lt;0,"ztráta provozovatele","-"))</f>
        <v>ztráta provozovatele</v>
      </c>
      <c r="AH45" s="1072" t="str">
        <f>IF(AH41&gt;0,"úspora",IF(AH41&lt;0,"ztráta provozovatele","-"))</f>
        <v>ztráta provozovatele</v>
      </c>
    </row>
    <row r="46" spans="2:41" x14ac:dyDescent="0.25">
      <c r="B46" s="12" t="s">
        <v>52</v>
      </c>
      <c r="C46" s="13" t="s">
        <v>57</v>
      </c>
      <c r="D46" s="3" t="s">
        <v>58</v>
      </c>
      <c r="E46" s="44">
        <v>0</v>
      </c>
      <c r="F46" s="666">
        <f>IF(AND(DAY(Postup!$H$24)=1,MONTH(Postup!$H$24)=1),Provozování!E49,Provozování!G49)</f>
        <v>2.5022828547945207E-2</v>
      </c>
      <c r="G46" s="44">
        <v>0</v>
      </c>
      <c r="H46" s="334">
        <v>0</v>
      </c>
      <c r="K46" s="12" t="s">
        <v>52</v>
      </c>
      <c r="L46" s="13" t="s">
        <v>57</v>
      </c>
      <c r="M46" s="3" t="s">
        <v>58</v>
      </c>
      <c r="N46" s="44">
        <v>0</v>
      </c>
      <c r="O46" s="666">
        <f>IF(Provozování!$I$16="Neaktivní",0,Provozování!I49)</f>
        <v>0</v>
      </c>
      <c r="P46" s="44">
        <v>0</v>
      </c>
      <c r="Q46" s="334">
        <v>0</v>
      </c>
      <c r="T46" s="12" t="s">
        <v>52</v>
      </c>
      <c r="U46" s="13" t="s">
        <v>57</v>
      </c>
      <c r="V46" s="3" t="s">
        <v>58</v>
      </c>
      <c r="W46" s="462">
        <v>0</v>
      </c>
      <c r="X46" s="44">
        <f>IF(Provozování!$I$16="Neaktivní",F46,O46)</f>
        <v>2.5022828547945207E-2</v>
      </c>
      <c r="Y46" s="44">
        <f>W46-X46</f>
        <v>-2.5022828547945207E-2</v>
      </c>
      <c r="Z46" s="337">
        <v>0</v>
      </c>
      <c r="AA46" s="337">
        <v>0</v>
      </c>
      <c r="AB46" s="334">
        <v>0</v>
      </c>
      <c r="AC46" s="146"/>
      <c r="AD46" s="146"/>
      <c r="AE46" s="1070"/>
      <c r="AF46" s="1071"/>
      <c r="AG46" s="1000"/>
      <c r="AH46" s="1000"/>
    </row>
    <row r="47" spans="2:41" x14ac:dyDescent="0.25">
      <c r="B47" s="12" t="s">
        <v>53</v>
      </c>
      <c r="C47" s="13" t="s">
        <v>60</v>
      </c>
      <c r="D47" s="3" t="s">
        <v>58</v>
      </c>
      <c r="E47" s="44">
        <v>0</v>
      </c>
      <c r="F47" s="666">
        <f>IF(AND(DAY(Postup!$H$24)=1,MONTH(Postup!$H$24)=1),Provozování!E50,Provozování!G50)</f>
        <v>2.2020088821917808E-2</v>
      </c>
      <c r="G47" s="44">
        <v>0</v>
      </c>
      <c r="H47" s="334">
        <v>0</v>
      </c>
      <c r="K47" s="12" t="s">
        <v>53</v>
      </c>
      <c r="L47" s="13" t="s">
        <v>60</v>
      </c>
      <c r="M47" s="3" t="s">
        <v>58</v>
      </c>
      <c r="N47" s="44">
        <v>0</v>
      </c>
      <c r="O47" s="666">
        <f>IF(Provozování!$I$16="Neaktivní",0,Provozování!I50)</f>
        <v>0</v>
      </c>
      <c r="P47" s="44">
        <v>0</v>
      </c>
      <c r="Q47" s="334">
        <v>0</v>
      </c>
      <c r="T47" s="12" t="s">
        <v>53</v>
      </c>
      <c r="U47" s="13" t="s">
        <v>60</v>
      </c>
      <c r="V47" s="3" t="s">
        <v>58</v>
      </c>
      <c r="W47" s="462">
        <v>0</v>
      </c>
      <c r="X47" s="44">
        <f>IF(Provozování!$I$16="Neaktivní",F47,O47)</f>
        <v>2.2020088821917808E-2</v>
      </c>
      <c r="Y47" s="44">
        <f>W47-X47</f>
        <v>-2.2020088821917808E-2</v>
      </c>
      <c r="Z47" s="337">
        <v>0</v>
      </c>
      <c r="AA47" s="337">
        <v>0</v>
      </c>
      <c r="AB47" s="334">
        <v>0</v>
      </c>
      <c r="AC47" s="146"/>
      <c r="AD47" s="146"/>
      <c r="AE47" s="414" t="s">
        <v>343</v>
      </c>
      <c r="AF47" s="414"/>
      <c r="AG47" s="344">
        <f>IF(AG41&gt;0,AG41/AG38,0)</f>
        <v>0</v>
      </c>
      <c r="AH47" s="344">
        <f>IF(AH41&gt;0,AH41/AH38,0)</f>
        <v>0</v>
      </c>
    </row>
    <row r="48" spans="2:41" x14ac:dyDescent="0.25">
      <c r="B48" s="12" t="s">
        <v>56</v>
      </c>
      <c r="C48" s="13" t="s">
        <v>62</v>
      </c>
      <c r="D48" s="3" t="s">
        <v>58</v>
      </c>
      <c r="E48" s="44">
        <v>0</v>
      </c>
      <c r="F48" s="337">
        <v>0</v>
      </c>
      <c r="G48" s="44">
        <v>0</v>
      </c>
      <c r="H48" s="30">
        <f>IF(AND(DAY(Postup!$H$24)=1,MONTH(Postup!$H$24)=1),Provozování!F51,Provozování!H51)</f>
        <v>2.7024657534246575E-2</v>
      </c>
      <c r="K48" s="12" t="s">
        <v>56</v>
      </c>
      <c r="L48" s="13" t="s">
        <v>62</v>
      </c>
      <c r="M48" s="3" t="s">
        <v>58</v>
      </c>
      <c r="N48" s="44">
        <v>0</v>
      </c>
      <c r="O48" s="337">
        <v>0</v>
      </c>
      <c r="P48" s="44">
        <v>0</v>
      </c>
      <c r="Q48" s="53">
        <f>IF(Provozování!$I$16="Neaktivní",0,Provozování!J51)</f>
        <v>0</v>
      </c>
      <c r="T48" s="12" t="s">
        <v>56</v>
      </c>
      <c r="U48" s="13" t="s">
        <v>62</v>
      </c>
      <c r="V48" s="3" t="s">
        <v>58</v>
      </c>
      <c r="W48" s="337">
        <v>0</v>
      </c>
      <c r="X48" s="337">
        <v>0</v>
      </c>
      <c r="Y48" s="337">
        <v>0</v>
      </c>
      <c r="Z48" s="462">
        <v>0</v>
      </c>
      <c r="AA48" s="44">
        <f>IF(Provozování!$I$16="Neaktivní",H48,Q48)</f>
        <v>2.7024657534246575E-2</v>
      </c>
      <c r="AB48" s="30">
        <f t="shared" ref="AB48:AB53" si="8">Z48-AA48</f>
        <v>-2.7024657534246575E-2</v>
      </c>
      <c r="AC48" s="146"/>
      <c r="AD48" s="146"/>
      <c r="AE48" s="437" t="s">
        <v>323</v>
      </c>
      <c r="AF48" s="437"/>
      <c r="AG48" s="715"/>
      <c r="AH48" s="715"/>
      <c r="AL48" s="433"/>
      <c r="AM48" s="433"/>
      <c r="AN48" s="147"/>
      <c r="AO48" s="147"/>
    </row>
    <row r="49" spans="2:43" x14ac:dyDescent="0.25">
      <c r="B49" s="12" t="s">
        <v>59</v>
      </c>
      <c r="C49" s="13" t="s">
        <v>60</v>
      </c>
      <c r="D49" s="3" t="s">
        <v>58</v>
      </c>
      <c r="E49" s="44">
        <v>0</v>
      </c>
      <c r="F49" s="337">
        <v>0</v>
      </c>
      <c r="G49" s="44">
        <v>0</v>
      </c>
      <c r="H49" s="30">
        <f>IF(AND(DAY(Postup!$H$24)=1,MONTH(Postup!$H$24)=1),Provozování!F52,Provozování!H52)</f>
        <v>1.9517808219178083E-2</v>
      </c>
      <c r="K49" s="12" t="s">
        <v>59</v>
      </c>
      <c r="L49" s="13" t="s">
        <v>60</v>
      </c>
      <c r="M49" s="3" t="s">
        <v>58</v>
      </c>
      <c r="N49" s="44">
        <v>0</v>
      </c>
      <c r="O49" s="337">
        <v>0</v>
      </c>
      <c r="P49" s="44">
        <v>0</v>
      </c>
      <c r="Q49" s="53">
        <f>IF(Provozování!$I$16="Neaktivní",0,Provozování!J52)</f>
        <v>0</v>
      </c>
      <c r="T49" s="12" t="s">
        <v>59</v>
      </c>
      <c r="U49" s="13" t="s">
        <v>60</v>
      </c>
      <c r="V49" s="3" t="s">
        <v>58</v>
      </c>
      <c r="W49" s="337">
        <v>0</v>
      </c>
      <c r="X49" s="337">
        <v>0</v>
      </c>
      <c r="Y49" s="337">
        <v>0</v>
      </c>
      <c r="Z49" s="462">
        <v>0</v>
      </c>
      <c r="AA49" s="44">
        <f>IF(Provozování!$I$16="Neaktivní",H49,Q49)</f>
        <v>1.9517808219178083E-2</v>
      </c>
      <c r="AB49" s="30">
        <f t="shared" si="8"/>
        <v>-1.9517808219178083E-2</v>
      </c>
      <c r="AC49" s="146"/>
      <c r="AD49" s="146"/>
      <c r="AE49" s="438" t="s">
        <v>334</v>
      </c>
      <c r="AF49" s="438"/>
      <c r="AG49" s="712">
        <f>IF(AG47&gt;0,AG38*AI49*0.5,0)</f>
        <v>0</v>
      </c>
      <c r="AH49" s="712">
        <f>IF(AH47&gt;0,AH38*AJ49*0.5,0)</f>
        <v>0</v>
      </c>
      <c r="AI49" s="345">
        <f>IF(AG47&gt;0.05,0.05,AG47)</f>
        <v>0</v>
      </c>
      <c r="AJ49" s="345">
        <f>IF(AH47&gt;0.05,0.05,AH47)</f>
        <v>0</v>
      </c>
      <c r="AL49" s="433"/>
      <c r="AM49" s="433"/>
      <c r="AN49" s="147"/>
      <c r="AO49" s="147"/>
    </row>
    <row r="50" spans="2:43" x14ac:dyDescent="0.25">
      <c r="B50" s="12" t="s">
        <v>61</v>
      </c>
      <c r="C50" s="13" t="s">
        <v>65</v>
      </c>
      <c r="D50" s="3" t="s">
        <v>58</v>
      </c>
      <c r="E50" s="44">
        <v>0</v>
      </c>
      <c r="F50" s="337">
        <v>0</v>
      </c>
      <c r="G50" s="44">
        <v>0</v>
      </c>
      <c r="H50" s="30">
        <f>IF(AND(DAY(Postup!$H$24)=1,MONTH(Postup!$H$24)=1),Provozování!F53,Provozování!H53)</f>
        <v>6.0054794520547948E-3</v>
      </c>
      <c r="K50" s="12" t="s">
        <v>61</v>
      </c>
      <c r="L50" s="13" t="s">
        <v>65</v>
      </c>
      <c r="M50" s="3" t="s">
        <v>58</v>
      </c>
      <c r="N50" s="44">
        <v>0</v>
      </c>
      <c r="O50" s="337">
        <v>0</v>
      </c>
      <c r="P50" s="44">
        <v>0</v>
      </c>
      <c r="Q50" s="53">
        <f>IF(Provozování!$I$16="Neaktivní",0,Provozování!J53)</f>
        <v>0</v>
      </c>
      <c r="T50" s="12" t="s">
        <v>61</v>
      </c>
      <c r="U50" s="13" t="s">
        <v>65</v>
      </c>
      <c r="V50" s="3" t="s">
        <v>58</v>
      </c>
      <c r="W50" s="337">
        <v>0</v>
      </c>
      <c r="X50" s="337">
        <v>0</v>
      </c>
      <c r="Y50" s="337">
        <v>0</v>
      </c>
      <c r="Z50" s="462">
        <v>0</v>
      </c>
      <c r="AA50" s="44">
        <f>IF(Provozování!$I$16="Neaktivní",H50,Q50)</f>
        <v>6.0054794520547948E-3</v>
      </c>
      <c r="AB50" s="30">
        <f t="shared" si="8"/>
        <v>-6.0054794520547948E-3</v>
      </c>
      <c r="AC50" s="146"/>
      <c r="AD50" s="146"/>
      <c r="AE50" s="415" t="s">
        <v>335</v>
      </c>
      <c r="AF50" s="415"/>
      <c r="AG50" s="270">
        <f>IF(AI50&gt;0,AG38*(AI50-0.05)*0.8,0)</f>
        <v>0</v>
      </c>
      <c r="AH50" s="270">
        <f>IF(AJ50&gt;0,AH38*(AJ50-0.05)*0.8,0)</f>
        <v>0</v>
      </c>
      <c r="AI50" s="345">
        <f>IF(AND(AG47&gt;0.05,AG47&lt;=0.1),AG47,IF(AG47&lt;=0.05,0,0.1))</f>
        <v>0</v>
      </c>
      <c r="AJ50" s="345">
        <f>IF(AND(AH47&gt;0.05,AH47&lt;=0.1),AH47,IF(AH47&lt;=0.05,0,0.1))</f>
        <v>0</v>
      </c>
      <c r="AL50" s="433"/>
      <c r="AM50" s="433"/>
      <c r="AN50" s="147"/>
      <c r="AO50" s="147"/>
      <c r="AP50" s="345"/>
      <c r="AQ50" s="345"/>
    </row>
    <row r="51" spans="2:43" x14ac:dyDescent="0.25">
      <c r="B51" s="12" t="s">
        <v>63</v>
      </c>
      <c r="C51" s="13" t="s">
        <v>67</v>
      </c>
      <c r="D51" s="3" t="s">
        <v>58</v>
      </c>
      <c r="E51" s="44">
        <v>0</v>
      </c>
      <c r="F51" s="337">
        <v>0</v>
      </c>
      <c r="G51" s="44">
        <v>0</v>
      </c>
      <c r="H51" s="30">
        <f>IF(AND(DAY(Postup!$H$24)=1,MONTH(Postup!$H$24)=1),Provozování!F54,Provozování!H54)</f>
        <v>7.5068493150684937E-2</v>
      </c>
      <c r="K51" s="12" t="s">
        <v>63</v>
      </c>
      <c r="L51" s="13" t="s">
        <v>67</v>
      </c>
      <c r="M51" s="3" t="s">
        <v>58</v>
      </c>
      <c r="N51" s="44">
        <v>0</v>
      </c>
      <c r="O51" s="337">
        <v>0</v>
      </c>
      <c r="P51" s="44">
        <v>0</v>
      </c>
      <c r="Q51" s="53">
        <f>IF(Provozování!$I$16="Neaktivní",0,Provozování!J54)</f>
        <v>0</v>
      </c>
      <c r="T51" s="12" t="s">
        <v>63</v>
      </c>
      <c r="U51" s="13" t="s">
        <v>67</v>
      </c>
      <c r="V51" s="3" t="s">
        <v>58</v>
      </c>
      <c r="W51" s="337">
        <v>0</v>
      </c>
      <c r="X51" s="337">
        <v>0</v>
      </c>
      <c r="Y51" s="337">
        <v>0</v>
      </c>
      <c r="Z51" s="462">
        <v>0</v>
      </c>
      <c r="AA51" s="44">
        <f>IF(Provozování!$I$16="Neaktivní",H51,Q51)</f>
        <v>7.5068493150684937E-2</v>
      </c>
      <c r="AB51" s="30">
        <f t="shared" si="8"/>
        <v>-7.5068493150684937E-2</v>
      </c>
      <c r="AC51" s="146"/>
      <c r="AD51" s="146"/>
      <c r="AE51" s="415" t="s">
        <v>336</v>
      </c>
      <c r="AF51" s="415"/>
      <c r="AG51" s="270">
        <f>IF(AI51&gt;0,AG38*(AI51-0.1)*1,0)</f>
        <v>0</v>
      </c>
      <c r="AH51" s="270">
        <f>IF(AJ51&gt;0,AH38*(AJ51-0.1)*1,0)</f>
        <v>0</v>
      </c>
      <c r="AI51" s="345">
        <f>IF(AG47&gt;0.1,AG47,0)</f>
        <v>0</v>
      </c>
      <c r="AJ51" s="345">
        <f>IF(AH47&gt;0.1,AH47,0)</f>
        <v>0</v>
      </c>
      <c r="AL51" s="434"/>
      <c r="AM51" s="434"/>
      <c r="AN51" s="314"/>
      <c r="AO51" s="314"/>
      <c r="AP51" s="345"/>
      <c r="AQ51" s="345"/>
    </row>
    <row r="52" spans="2:43" x14ac:dyDescent="0.25">
      <c r="B52" s="12" t="s">
        <v>64</v>
      </c>
      <c r="C52" s="13" t="s">
        <v>68</v>
      </c>
      <c r="D52" s="3" t="s">
        <v>58</v>
      </c>
      <c r="E52" s="44">
        <v>0</v>
      </c>
      <c r="F52" s="44">
        <f>IF(AND(DAY(Postup!$H$24)=1,MONTH(Postup!$H$24)=1),Provozování!E55,Provozování!G55)</f>
        <v>0</v>
      </c>
      <c r="G52" s="44">
        <v>0</v>
      </c>
      <c r="H52" s="30">
        <f>IF(AND(DAY(Postup!$H$24)=1,MONTH(Postup!$H$24)=1),Provozování!F55,Provozování!H55)</f>
        <v>0</v>
      </c>
      <c r="K52" s="12" t="s">
        <v>64</v>
      </c>
      <c r="L52" s="13" t="s">
        <v>68</v>
      </c>
      <c r="M52" s="3" t="s">
        <v>58</v>
      </c>
      <c r="N52" s="44">
        <v>0</v>
      </c>
      <c r="O52" s="44">
        <f>IF(Provozování!$I$16="Neaktivní",0,Provozování!I55)</f>
        <v>0</v>
      </c>
      <c r="P52" s="44">
        <v>0</v>
      </c>
      <c r="Q52" s="53">
        <f>IF(Provozování!$I$16="Neaktivní",0,Provozování!J55)</f>
        <v>0</v>
      </c>
      <c r="T52" s="12" t="s">
        <v>64</v>
      </c>
      <c r="U52" s="13" t="s">
        <v>68</v>
      </c>
      <c r="V52" s="3" t="s">
        <v>58</v>
      </c>
      <c r="W52" s="462">
        <v>0</v>
      </c>
      <c r="X52" s="44">
        <f>IF(Provozování!$I$16="Neaktivní",F52,O52)</f>
        <v>0</v>
      </c>
      <c r="Y52" s="44">
        <f>W52-X52</f>
        <v>0</v>
      </c>
      <c r="Z52" s="462">
        <v>0</v>
      </c>
      <c r="AA52" s="44">
        <f>IF(Provozování!$I$16="Neaktivní",H52,Q52)</f>
        <v>0</v>
      </c>
      <c r="AB52" s="30">
        <f t="shared" si="8"/>
        <v>0</v>
      </c>
      <c r="AC52" s="146"/>
      <c r="AD52" s="146"/>
      <c r="AE52" s="413" t="s">
        <v>324</v>
      </c>
      <c r="AF52" s="413"/>
      <c r="AG52" s="346">
        <f>SUM(AG49:AG51)</f>
        <v>0</v>
      </c>
      <c r="AH52" s="346">
        <f>SUM(AH49:AH51)</f>
        <v>0</v>
      </c>
      <c r="AL52" s="434"/>
      <c r="AM52" s="434"/>
      <c r="AN52" s="314"/>
      <c r="AO52" s="314"/>
      <c r="AP52" s="345"/>
      <c r="AQ52" s="345"/>
    </row>
    <row r="53" spans="2:43" x14ac:dyDescent="0.25">
      <c r="B53" s="12" t="s">
        <v>66</v>
      </c>
      <c r="C53" s="13" t="s">
        <v>69</v>
      </c>
      <c r="D53" s="3" t="s">
        <v>58</v>
      </c>
      <c r="E53" s="44">
        <v>0</v>
      </c>
      <c r="F53" s="44">
        <f>IF(AND(DAY(Postup!$H$24)=1,MONTH(Postup!$H$24)=1),Provozování!E56,Provozování!G56)</f>
        <v>0</v>
      </c>
      <c r="G53" s="44">
        <v>0</v>
      </c>
      <c r="H53" s="30">
        <f>IF(AND(DAY(Postup!$H$24)=1,MONTH(Postup!$H$24)=1),Provozování!F56,Provozování!H56)</f>
        <v>0</v>
      </c>
      <c r="K53" s="12" t="s">
        <v>66</v>
      </c>
      <c r="L53" s="13" t="s">
        <v>69</v>
      </c>
      <c r="M53" s="3" t="s">
        <v>58</v>
      </c>
      <c r="N53" s="44">
        <v>0</v>
      </c>
      <c r="O53" s="44">
        <f>IF(Provozování!$I$16="Neaktivní",0,Provozování!I56)</f>
        <v>0</v>
      </c>
      <c r="P53" s="44">
        <v>0</v>
      </c>
      <c r="Q53" s="30">
        <f>IF(Provozování!$I$16="Neaktivní",0,Provozování!J56)</f>
        <v>0</v>
      </c>
      <c r="T53" s="12" t="s">
        <v>66</v>
      </c>
      <c r="U53" s="13" t="s">
        <v>69</v>
      </c>
      <c r="V53" s="3" t="s">
        <v>58</v>
      </c>
      <c r="W53" s="462">
        <v>0</v>
      </c>
      <c r="X53" s="44">
        <f>IF(Provozování!$I$16="Neaktivní",F53,O53)</f>
        <v>0</v>
      </c>
      <c r="Y53" s="44">
        <f>W53-X53</f>
        <v>0</v>
      </c>
      <c r="Z53" s="462">
        <v>0</v>
      </c>
      <c r="AA53" s="44">
        <f>IF(Provozování!$I$16="Neaktivní",H53,Q53)</f>
        <v>0</v>
      </c>
      <c r="AB53" s="30">
        <f t="shared" si="8"/>
        <v>0</v>
      </c>
      <c r="AC53" s="146"/>
      <c r="AD53" s="146"/>
      <c r="AE53" s="146"/>
      <c r="AF53" s="146"/>
      <c r="AG53" s="146"/>
      <c r="AH53" s="146"/>
      <c r="AL53" s="434"/>
      <c r="AM53" s="434"/>
      <c r="AN53" s="314"/>
      <c r="AO53" s="314"/>
      <c r="AP53" s="345"/>
      <c r="AQ53" s="345"/>
    </row>
    <row r="54" spans="2:43" x14ac:dyDescent="0.25">
      <c r="B54" s="1"/>
      <c r="C54" s="1"/>
      <c r="D54" s="1"/>
      <c r="E54" s="1"/>
      <c r="F54" s="1"/>
      <c r="G54" s="1"/>
      <c r="H54" s="1"/>
      <c r="K54" s="1"/>
      <c r="L54" s="1"/>
      <c r="M54" s="1"/>
      <c r="N54" s="1"/>
      <c r="O54" s="1"/>
      <c r="P54" s="1"/>
      <c r="Q54" s="1"/>
      <c r="T54" s="1"/>
      <c r="U54" s="1"/>
      <c r="V54" s="1"/>
      <c r="W54" s="1"/>
      <c r="X54" s="1"/>
      <c r="Y54" s="1"/>
      <c r="Z54" s="1"/>
      <c r="AA54" s="1"/>
      <c r="AB54" s="1"/>
      <c r="AC54" s="146"/>
      <c r="AD54" s="146"/>
      <c r="AE54" s="146"/>
      <c r="AF54" s="146"/>
      <c r="AG54" s="146"/>
      <c r="AH54" s="146"/>
      <c r="AP54" s="345"/>
      <c r="AQ54" s="345"/>
    </row>
    <row r="55" spans="2:43" x14ac:dyDescent="0.25">
      <c r="B55" s="1052" t="s">
        <v>5</v>
      </c>
      <c r="C55" s="884" t="s">
        <v>70</v>
      </c>
      <c r="D55" s="868"/>
      <c r="E55" s="1082"/>
      <c r="F55" s="1083"/>
      <c r="G55" s="868"/>
      <c r="H55" s="869"/>
      <c r="K55" s="1052" t="s">
        <v>5</v>
      </c>
      <c r="L55" s="884" t="s">
        <v>70</v>
      </c>
      <c r="M55" s="868"/>
      <c r="N55" s="1082"/>
      <c r="O55" s="1083"/>
      <c r="P55" s="868"/>
      <c r="Q55" s="869"/>
      <c r="T55" s="1098" t="s">
        <v>5</v>
      </c>
      <c r="U55" s="884" t="s">
        <v>70</v>
      </c>
      <c r="V55" s="868"/>
      <c r="W55" s="1082"/>
      <c r="X55" s="1082"/>
      <c r="Y55" s="1083"/>
      <c r="Z55" s="868"/>
      <c r="AA55" s="868"/>
      <c r="AB55" s="869"/>
      <c r="AC55" s="146"/>
      <c r="AD55" s="146"/>
      <c r="AE55" s="146"/>
      <c r="AF55" s="146"/>
      <c r="AG55" s="146"/>
      <c r="AH55" s="146"/>
    </row>
    <row r="56" spans="2:43" x14ac:dyDescent="0.25">
      <c r="B56" s="1053"/>
      <c r="C56" s="1052" t="s">
        <v>71</v>
      </c>
      <c r="D56" s="1065" t="s">
        <v>133</v>
      </c>
      <c r="E56" s="1085" t="s">
        <v>102</v>
      </c>
      <c r="F56" s="1086"/>
      <c r="G56" s="85" t="s">
        <v>3</v>
      </c>
      <c r="H56" s="23" t="s">
        <v>4</v>
      </c>
      <c r="K56" s="1053"/>
      <c r="L56" s="5" t="s">
        <v>71</v>
      </c>
      <c r="M56" s="1065" t="s">
        <v>133</v>
      </c>
      <c r="N56" s="1085" t="s">
        <v>102</v>
      </c>
      <c r="O56" s="1086"/>
      <c r="P56" s="85" t="s">
        <v>3</v>
      </c>
      <c r="Q56" s="23" t="s">
        <v>4</v>
      </c>
      <c r="T56" s="1099"/>
      <c r="U56" s="1052" t="s">
        <v>71</v>
      </c>
      <c r="V56" s="1065" t="s">
        <v>133</v>
      </c>
      <c r="W56" s="1085" t="s">
        <v>102</v>
      </c>
      <c r="X56" s="1086"/>
      <c r="Y56" s="1085" t="s">
        <v>3</v>
      </c>
      <c r="Z56" s="1101"/>
      <c r="AA56" s="1102" t="s">
        <v>4</v>
      </c>
      <c r="AB56" s="1102"/>
      <c r="AC56" s="146"/>
      <c r="AD56" s="146"/>
      <c r="AE56" s="146"/>
      <c r="AF56" s="146"/>
      <c r="AG56" s="146"/>
      <c r="AH56" s="146"/>
    </row>
    <row r="57" spans="2:43" x14ac:dyDescent="0.25">
      <c r="B57" s="1054"/>
      <c r="C57" s="1054"/>
      <c r="D57" s="1084"/>
      <c r="E57" s="1087"/>
      <c r="F57" s="1088"/>
      <c r="G57" s="26" t="s">
        <v>7</v>
      </c>
      <c r="H57" s="24" t="s">
        <v>7</v>
      </c>
      <c r="K57" s="1054"/>
      <c r="L57" s="8"/>
      <c r="M57" s="1084"/>
      <c r="N57" s="1087"/>
      <c r="O57" s="1088"/>
      <c r="P57" s="26" t="s">
        <v>7</v>
      </c>
      <c r="Q57" s="24" t="s">
        <v>7</v>
      </c>
      <c r="T57" s="1100"/>
      <c r="U57" s="1054"/>
      <c r="V57" s="1084"/>
      <c r="W57" s="1087"/>
      <c r="X57" s="1088"/>
      <c r="Y57" s="37" t="s">
        <v>148</v>
      </c>
      <c r="Z57" s="37" t="s">
        <v>7</v>
      </c>
      <c r="AA57" s="37" t="s">
        <v>148</v>
      </c>
      <c r="AB57" s="37" t="s">
        <v>7</v>
      </c>
      <c r="AC57" s="146"/>
      <c r="AD57" s="146"/>
      <c r="AE57" s="146"/>
      <c r="AF57" s="146"/>
      <c r="AG57" s="146"/>
      <c r="AH57" s="146"/>
    </row>
    <row r="58" spans="2:43" x14ac:dyDescent="0.25">
      <c r="B58" s="11">
        <v>1</v>
      </c>
      <c r="C58" s="11">
        <v>2</v>
      </c>
      <c r="D58" s="11" t="s">
        <v>95</v>
      </c>
      <c r="E58" s="873" t="s">
        <v>99</v>
      </c>
      <c r="F58" s="874"/>
      <c r="G58" s="11" t="s">
        <v>100</v>
      </c>
      <c r="H58" s="22" t="s">
        <v>101</v>
      </c>
      <c r="K58" s="11">
        <v>1</v>
      </c>
      <c r="L58" s="11">
        <v>2</v>
      </c>
      <c r="M58" s="11" t="s">
        <v>95</v>
      </c>
      <c r="N58" s="873" t="s">
        <v>99</v>
      </c>
      <c r="O58" s="874"/>
      <c r="P58" s="11" t="s">
        <v>100</v>
      </c>
      <c r="Q58" s="22" t="s">
        <v>101</v>
      </c>
      <c r="T58" s="11">
        <v>1</v>
      </c>
      <c r="U58" s="11">
        <v>2</v>
      </c>
      <c r="V58" s="11" t="s">
        <v>95</v>
      </c>
      <c r="W58" s="1096" t="s">
        <v>99</v>
      </c>
      <c r="X58" s="1097"/>
      <c r="Y58" s="11" t="s">
        <v>153</v>
      </c>
      <c r="Z58" s="11" t="s">
        <v>100</v>
      </c>
      <c r="AA58" s="11" t="s">
        <v>152</v>
      </c>
      <c r="AB58" s="22" t="s">
        <v>101</v>
      </c>
      <c r="AC58" s="146"/>
      <c r="AD58" s="146"/>
      <c r="AE58" s="146"/>
      <c r="AF58" s="146"/>
      <c r="AG58" s="146"/>
      <c r="AH58" s="146"/>
    </row>
    <row r="59" spans="2:43" ht="14.45" customHeight="1" x14ac:dyDescent="0.25">
      <c r="B59" s="12" t="s">
        <v>72</v>
      </c>
      <c r="C59" s="13" t="s">
        <v>104</v>
      </c>
      <c r="D59" s="13" t="s">
        <v>73</v>
      </c>
      <c r="E59" s="875" t="s">
        <v>403</v>
      </c>
      <c r="F59" s="859"/>
      <c r="G59" s="137">
        <f>IF(F46=0,IF(F52&lt;&gt;0,F42/F52,0),F42/F46)</f>
        <v>23.850000054900001</v>
      </c>
      <c r="H59" s="138">
        <f>IF((H48+H50)=0,IF(H53&lt;&gt;0,H42/H53,0),H42/(H48+H50))</f>
        <v>46.909090181818193</v>
      </c>
      <c r="K59" s="12" t="s">
        <v>72</v>
      </c>
      <c r="L59" s="13" t="s">
        <v>104</v>
      </c>
      <c r="M59" s="13" t="s">
        <v>73</v>
      </c>
      <c r="N59" s="875" t="s">
        <v>403</v>
      </c>
      <c r="O59" s="859"/>
      <c r="P59" s="137">
        <f>IF(O46=0,IF(O52&lt;&gt;0,O42/O52,0),O42/O46)</f>
        <v>0</v>
      </c>
      <c r="Q59" s="138">
        <f>IF((Q48+Q50)=0,IF(Q53&lt;&gt;0,Q42/Q53,0),Q42/(Q48+Q50))</f>
        <v>0</v>
      </c>
      <c r="T59" s="12" t="s">
        <v>72</v>
      </c>
      <c r="U59" s="13" t="s">
        <v>104</v>
      </c>
      <c r="V59" s="13" t="s">
        <v>73</v>
      </c>
      <c r="W59" s="875" t="s">
        <v>403</v>
      </c>
      <c r="X59" s="859"/>
      <c r="Y59" s="137">
        <f>IF(W46=0,IF(W52&lt;&gt;0,W42/W52,0),W42/W46)</f>
        <v>0</v>
      </c>
      <c r="Z59" s="137">
        <f>IF(X46=0,IF(X52&lt;&gt;0,X42/X52,0),X42/X46)</f>
        <v>23.850000054900001</v>
      </c>
      <c r="AA59" s="137">
        <f>IF((Z48+Z50)=0,IF(Z53&lt;&gt;0,Z42/Z53,0),Z42/(Z48+Z50))</f>
        <v>0</v>
      </c>
      <c r="AB59" s="138">
        <f>IF((AA48+AA50)=0,IF(AA53&lt;&gt;0,AA42/AA53,0),AA42/(AA48+AA50))</f>
        <v>46.909090181818193</v>
      </c>
      <c r="AC59" s="146"/>
      <c r="AD59" s="146"/>
      <c r="AE59" s="146"/>
      <c r="AF59" s="146"/>
      <c r="AG59" s="146"/>
      <c r="AH59" s="146"/>
    </row>
    <row r="60" spans="2:43" x14ac:dyDescent="0.25">
      <c r="B60" s="12" t="s">
        <v>74</v>
      </c>
      <c r="C60" s="13" t="s">
        <v>358</v>
      </c>
      <c r="D60" s="13" t="s">
        <v>10</v>
      </c>
      <c r="E60" s="858" t="s">
        <v>404</v>
      </c>
      <c r="F60" s="870"/>
      <c r="G60" s="340">
        <f>G61+G62</f>
        <v>0</v>
      </c>
      <c r="H60" s="341">
        <f>H61+H62</f>
        <v>0</v>
      </c>
      <c r="K60" s="12" t="s">
        <v>74</v>
      </c>
      <c r="L60" s="13" t="s">
        <v>358</v>
      </c>
      <c r="M60" s="13" t="s">
        <v>10</v>
      </c>
      <c r="N60" s="858" t="s">
        <v>404</v>
      </c>
      <c r="O60" s="870"/>
      <c r="P60" s="340">
        <f>P61+P62</f>
        <v>0</v>
      </c>
      <c r="Q60" s="341">
        <f>Q61+Q62</f>
        <v>0</v>
      </c>
      <c r="T60" s="12" t="s">
        <v>74</v>
      </c>
      <c r="U60" s="13" t="s">
        <v>358</v>
      </c>
      <c r="V60" s="13" t="s">
        <v>10</v>
      </c>
      <c r="W60" s="858" t="s">
        <v>404</v>
      </c>
      <c r="X60" s="870"/>
      <c r="Y60" s="340">
        <f>Y61+Y62</f>
        <v>0</v>
      </c>
      <c r="Z60" s="340">
        <f>Z61+Z62</f>
        <v>0</v>
      </c>
      <c r="AA60" s="340">
        <f>AA61+AA62</f>
        <v>0</v>
      </c>
      <c r="AB60" s="341">
        <f>AB61+AB62</f>
        <v>0</v>
      </c>
      <c r="AC60" s="146"/>
      <c r="AD60" s="146"/>
      <c r="AE60" s="146"/>
      <c r="AF60" s="146"/>
      <c r="AG60" s="146"/>
      <c r="AH60" s="146"/>
    </row>
    <row r="61" spans="2:43" x14ac:dyDescent="0.25">
      <c r="B61" s="12" t="s">
        <v>352</v>
      </c>
      <c r="C61" s="13" t="s">
        <v>359</v>
      </c>
      <c r="D61" s="13" t="s">
        <v>10</v>
      </c>
      <c r="E61" s="871"/>
      <c r="F61" s="872"/>
      <c r="G61" s="340">
        <f>IF(AND(DAY(Postup!$H$24)=1,MONTH(Postup!$H$24)=1),Provozování!E84,Provozování!G84)</f>
        <v>0</v>
      </c>
      <c r="H61" s="341">
        <f>IF(AND(DAY(Postup!$H$24)=1,MONTH(Postup!$H$24)=1),Provozování!F84,Provozování!H84)</f>
        <v>0</v>
      </c>
      <c r="K61" s="12" t="s">
        <v>352</v>
      </c>
      <c r="L61" s="13" t="s">
        <v>359</v>
      </c>
      <c r="M61" s="13" t="s">
        <v>10</v>
      </c>
      <c r="N61" s="871"/>
      <c r="O61" s="872"/>
      <c r="P61" s="340">
        <f>IF(Provozování!$I$16="Neaktivní",0,Provozování!I84)</f>
        <v>0</v>
      </c>
      <c r="Q61" s="341">
        <f>IF(Provozování!$I$16="Neaktivní",0,Provozování!J84)</f>
        <v>0</v>
      </c>
      <c r="T61" s="12" t="s">
        <v>352</v>
      </c>
      <c r="U61" s="13" t="s">
        <v>359</v>
      </c>
      <c r="V61" s="13" t="s">
        <v>10</v>
      </c>
      <c r="W61" s="871"/>
      <c r="X61" s="872"/>
      <c r="Y61" s="340">
        <f>Z61</f>
        <v>0</v>
      </c>
      <c r="Z61" s="340">
        <f>IF(Provozování!$I$16="Neaktivní",G61,P61)</f>
        <v>0</v>
      </c>
      <c r="AA61" s="340">
        <v>0</v>
      </c>
      <c r="AB61" s="341">
        <f>IF(Provozování!$I$16="Neaktivní",H61,Q61)</f>
        <v>0</v>
      </c>
      <c r="AC61" s="146"/>
      <c r="AD61" s="146"/>
      <c r="AE61" s="146"/>
      <c r="AF61" s="146"/>
      <c r="AG61" s="146"/>
      <c r="AH61" s="146"/>
    </row>
    <row r="62" spans="2:43" x14ac:dyDescent="0.25">
      <c r="B62" s="12" t="s">
        <v>361</v>
      </c>
      <c r="C62" s="13" t="s">
        <v>360</v>
      </c>
      <c r="D62" s="13" t="s">
        <v>10</v>
      </c>
      <c r="E62" s="884"/>
      <c r="F62" s="869"/>
      <c r="G62" s="340">
        <f>IF(AND(DAY(Postup!$H$24)=1,MONTH(Postup!$H$24)=1),((-1)*(Provozování!E$102)),((-1)*(Provozování!E$102)))</f>
        <v>0</v>
      </c>
      <c r="H62" s="341">
        <f>IF(AND(DAY(Postup!$H$24)=1,MONTH(Postup!$H$24)=1),((-1)*(Provozování!F$102)),((-1)*(Provozování!F$102)))</f>
        <v>0</v>
      </c>
      <c r="K62" s="12" t="s">
        <v>361</v>
      </c>
      <c r="L62" s="13" t="s">
        <v>360</v>
      </c>
      <c r="M62" s="13" t="s">
        <v>10</v>
      </c>
      <c r="N62" s="884"/>
      <c r="O62" s="869"/>
      <c r="P62" s="340">
        <f>IF(Provozování!$I$16="Neaktivní",0,((-1)*(Provozování!E$102)))</f>
        <v>0</v>
      </c>
      <c r="Q62" s="341">
        <f>IF(Provozování!$I$16="Neaktivní",0,((-1)*(Provozování!F$102)))</f>
        <v>0</v>
      </c>
      <c r="T62" s="12" t="s">
        <v>361</v>
      </c>
      <c r="U62" s="13" t="s">
        <v>360</v>
      </c>
      <c r="V62" s="13" t="s">
        <v>10</v>
      </c>
      <c r="W62" s="884"/>
      <c r="X62" s="869"/>
      <c r="Y62" s="340">
        <f>Z62</f>
        <v>0</v>
      </c>
      <c r="Z62" s="340">
        <f>IF(Provozování!$I$16="Neaktivní",G62,P62)</f>
        <v>0</v>
      </c>
      <c r="AA62" s="340">
        <f>AB62</f>
        <v>0</v>
      </c>
      <c r="AB62" s="341">
        <f>IF(Provozování!$I$16="Neaktivní",H62,Q62)</f>
        <v>0</v>
      </c>
      <c r="AC62" s="146"/>
      <c r="AD62" s="146"/>
      <c r="AE62" s="146"/>
      <c r="AF62" s="146"/>
      <c r="AG62" s="146"/>
      <c r="AH62" s="146"/>
    </row>
    <row r="63" spans="2:43" x14ac:dyDescent="0.25">
      <c r="B63" s="12" t="s">
        <v>75</v>
      </c>
      <c r="C63" s="13" t="s">
        <v>396</v>
      </c>
      <c r="D63" s="13" t="s">
        <v>10</v>
      </c>
      <c r="E63" s="858" t="s">
        <v>405</v>
      </c>
      <c r="F63" s="859"/>
      <c r="G63" s="340">
        <f>F42+G60</f>
        <v>0.59679446224224653</v>
      </c>
      <c r="H63" s="341">
        <f>H42+H60</f>
        <v>1.5494136746082194</v>
      </c>
      <c r="K63" s="12" t="s">
        <v>75</v>
      </c>
      <c r="L63" s="13" t="s">
        <v>396</v>
      </c>
      <c r="M63" s="13" t="s">
        <v>10</v>
      </c>
      <c r="N63" s="858" t="s">
        <v>405</v>
      </c>
      <c r="O63" s="859"/>
      <c r="P63" s="340">
        <f>O42+P60</f>
        <v>0</v>
      </c>
      <c r="Q63" s="341">
        <f>Q42+Q60</f>
        <v>0</v>
      </c>
      <c r="T63" s="12" t="s">
        <v>75</v>
      </c>
      <c r="U63" s="13" t="s">
        <v>396</v>
      </c>
      <c r="V63" s="13" t="s">
        <v>10</v>
      </c>
      <c r="W63" s="858" t="s">
        <v>405</v>
      </c>
      <c r="X63" s="859"/>
      <c r="Y63" s="14">
        <f>W42+Y60</f>
        <v>0.23571506849315069</v>
      </c>
      <c r="Z63" s="14">
        <f>X42+Z60</f>
        <v>0.59679446224224653</v>
      </c>
      <c r="AA63" s="14">
        <f>Z42+AA60</f>
        <v>0.66360547945205484</v>
      </c>
      <c r="AB63" s="15">
        <f>AA42+AB60</f>
        <v>1.5494136746082194</v>
      </c>
      <c r="AC63" s="146"/>
      <c r="AD63" s="146"/>
      <c r="AE63" s="146"/>
      <c r="AF63" s="146"/>
      <c r="AG63" s="146"/>
      <c r="AH63" s="146"/>
    </row>
    <row r="64" spans="2:43" x14ac:dyDescent="0.25">
      <c r="B64" s="12" t="s">
        <v>76</v>
      </c>
      <c r="C64" s="13" t="s">
        <v>373</v>
      </c>
      <c r="D64" s="13" t="s">
        <v>10</v>
      </c>
      <c r="E64" s="858"/>
      <c r="F64" s="859"/>
      <c r="G64" s="340">
        <f>IF(AND(DAY(Postup!$H$24)=1,MONTH(Postup!$H$24)=1),Provozování!E87,Provozování!G87)</f>
        <v>1.8016360766120544E-2</v>
      </c>
      <c r="H64" s="341">
        <f>IF(AND(DAY(Postup!$H$24)=1,MONTH(Postup!$H$24)=1),Provozování!F87,Provozování!H87)</f>
        <v>7.5068701841095903E-2</v>
      </c>
      <c r="K64" s="12" t="s">
        <v>76</v>
      </c>
      <c r="L64" s="13" t="s">
        <v>373</v>
      </c>
      <c r="M64" s="13" t="s">
        <v>10</v>
      </c>
      <c r="N64" s="858"/>
      <c r="O64" s="859"/>
      <c r="P64" s="340">
        <f>IF(Provozování!$I$16="Neaktivní",0,Provozování!I87)</f>
        <v>0</v>
      </c>
      <c r="Q64" s="341">
        <f>IF(Provozování!$I$16="Neaktivní",0,Provozování!J87)</f>
        <v>0</v>
      </c>
      <c r="T64" s="12" t="s">
        <v>76</v>
      </c>
      <c r="U64" s="13" t="s">
        <v>373</v>
      </c>
      <c r="V64" s="13" t="s">
        <v>10</v>
      </c>
      <c r="W64" s="858"/>
      <c r="X64" s="859"/>
      <c r="Y64" s="462">
        <f>IF(Provozování!I16="Aktivní",Provozování!I87,Provozování!E87)</f>
        <v>2.3999896640999999E-2</v>
      </c>
      <c r="Z64" s="14">
        <f>IF(Provozování!$I$16="Neaktivní",G64,P64)</f>
        <v>1.8016360766120544E-2</v>
      </c>
      <c r="AA64" s="462">
        <f>IF(Provozování!I16="Aktivní",Provozování!J87,Provozování!F87)</f>
        <v>0.100000278</v>
      </c>
      <c r="AB64" s="15">
        <f>IF(Provozování!$I$16="Neaktivní",H64,Q64)</f>
        <v>7.5068701841095903E-2</v>
      </c>
      <c r="AC64" s="146"/>
      <c r="AD64" s="146"/>
      <c r="AE64" s="146"/>
      <c r="AF64" s="146"/>
      <c r="AG64" s="146"/>
      <c r="AH64" s="146"/>
    </row>
    <row r="65" spans="1:34" ht="14.45" customHeight="1" x14ac:dyDescent="0.25">
      <c r="B65" s="12" t="s">
        <v>78</v>
      </c>
      <c r="C65" s="21" t="s">
        <v>402</v>
      </c>
      <c r="D65" s="13" t="s">
        <v>77</v>
      </c>
      <c r="E65" s="875" t="s">
        <v>406</v>
      </c>
      <c r="F65" s="859"/>
      <c r="G65" s="137">
        <f>IF(G63=0,0,G64/G63*100)</f>
        <v>3.0188552183326851</v>
      </c>
      <c r="H65" s="138">
        <f>IF(H63=0,0,H64/H63*100)</f>
        <v>4.8449747844182136</v>
      </c>
      <c r="K65" s="12" t="s">
        <v>78</v>
      </c>
      <c r="L65" s="21" t="s">
        <v>402</v>
      </c>
      <c r="M65" s="13" t="s">
        <v>77</v>
      </c>
      <c r="N65" s="875" t="s">
        <v>406</v>
      </c>
      <c r="O65" s="859"/>
      <c r="P65" s="137">
        <f>IF(P63=0,0,P64/P63*100)</f>
        <v>0</v>
      </c>
      <c r="Q65" s="138">
        <f>IF(Q63=0,0,Q64/Q63*100)</f>
        <v>0</v>
      </c>
      <c r="T65" s="12" t="s">
        <v>78</v>
      </c>
      <c r="U65" s="21" t="s">
        <v>402</v>
      </c>
      <c r="V65" s="13" t="s">
        <v>77</v>
      </c>
      <c r="W65" s="875" t="s">
        <v>406</v>
      </c>
      <c r="X65" s="859"/>
      <c r="Y65" s="137">
        <f>IF(Y63=0,0,Y64/Y63*100)</f>
        <v>10.181740520206658</v>
      </c>
      <c r="Z65" s="137">
        <f>IF(Z63=0,0,Z64/Z63*100)</f>
        <v>3.0188552183326851</v>
      </c>
      <c r="AA65" s="137">
        <f>IF(AA63=0,0,AA64/AA63*100)</f>
        <v>15.069236330382799</v>
      </c>
      <c r="AB65" s="138">
        <f>IF(AB63=0,0,AB64/AB63*100)</f>
        <v>4.8449747844182136</v>
      </c>
      <c r="AC65" s="146"/>
      <c r="AD65" s="146"/>
      <c r="AE65" s="146"/>
      <c r="AF65" s="146"/>
      <c r="AG65" s="146"/>
      <c r="AH65" s="146"/>
    </row>
    <row r="66" spans="1:34" x14ac:dyDescent="0.25">
      <c r="B66" s="12" t="s">
        <v>79</v>
      </c>
      <c r="C66" s="21" t="s">
        <v>408</v>
      </c>
      <c r="D66" s="13" t="s">
        <v>10</v>
      </c>
      <c r="E66" s="858" t="s">
        <v>407</v>
      </c>
      <c r="F66" s="859"/>
      <c r="G66" s="310">
        <v>0</v>
      </c>
      <c r="H66" s="111">
        <v>0</v>
      </c>
      <c r="K66" s="12" t="s">
        <v>79</v>
      </c>
      <c r="L66" s="21" t="s">
        <v>408</v>
      </c>
      <c r="M66" s="13" t="s">
        <v>10</v>
      </c>
      <c r="N66" s="858" t="s">
        <v>407</v>
      </c>
      <c r="O66" s="859"/>
      <c r="P66" s="310">
        <v>0</v>
      </c>
      <c r="Q66" s="111">
        <v>0</v>
      </c>
      <c r="T66" s="12" t="s">
        <v>79</v>
      </c>
      <c r="U66" s="21" t="s">
        <v>408</v>
      </c>
      <c r="V66" s="13" t="s">
        <v>10</v>
      </c>
      <c r="W66" s="858" t="s">
        <v>407</v>
      </c>
      <c r="X66" s="859"/>
      <c r="Y66" s="337">
        <v>0</v>
      </c>
      <c r="Z66" s="337">
        <v>0</v>
      </c>
      <c r="AA66" s="337">
        <v>0</v>
      </c>
      <c r="AB66" s="334">
        <v>0</v>
      </c>
      <c r="AC66" s="146"/>
      <c r="AD66" s="146"/>
      <c r="AE66" s="146"/>
      <c r="AF66" s="146"/>
      <c r="AG66" s="146"/>
      <c r="AH66" s="146"/>
    </row>
    <row r="67" spans="1:34" x14ac:dyDescent="0.25">
      <c r="B67" s="12" t="s">
        <v>80</v>
      </c>
      <c r="C67" s="497" t="s">
        <v>354</v>
      </c>
      <c r="D67" s="13"/>
      <c r="E67" s="858" t="s">
        <v>409</v>
      </c>
      <c r="F67" s="870"/>
      <c r="G67" s="310">
        <f>G64-G66</f>
        <v>1.8016360766120544E-2</v>
      </c>
      <c r="H67" s="111">
        <f>H64-H66</f>
        <v>7.5068701841095903E-2</v>
      </c>
      <c r="K67" s="12" t="s">
        <v>80</v>
      </c>
      <c r="L67" s="497" t="s">
        <v>354</v>
      </c>
      <c r="M67" s="13"/>
      <c r="N67" s="858" t="s">
        <v>409</v>
      </c>
      <c r="O67" s="870"/>
      <c r="P67" s="310">
        <f>P64-P66</f>
        <v>0</v>
      </c>
      <c r="Q67" s="111">
        <f>Q64-Q66</f>
        <v>0</v>
      </c>
      <c r="T67" s="12" t="s">
        <v>80</v>
      </c>
      <c r="U67" s="497" t="s">
        <v>354</v>
      </c>
      <c r="V67" s="13"/>
      <c r="W67" s="858" t="s">
        <v>409</v>
      </c>
      <c r="X67" s="870"/>
      <c r="Y67" s="337">
        <f>Y64-Y66</f>
        <v>2.3999896640999999E-2</v>
      </c>
      <c r="Z67" s="337">
        <f>Z64-Z66</f>
        <v>1.8016360766120544E-2</v>
      </c>
      <c r="AA67" s="337">
        <f>AA64-AA66</f>
        <v>0.100000278</v>
      </c>
      <c r="AB67" s="334">
        <f>AB64-AB66</f>
        <v>7.5068701841095903E-2</v>
      </c>
      <c r="AC67" s="146"/>
      <c r="AD67" s="146"/>
      <c r="AE67" s="146"/>
      <c r="AF67" s="146"/>
      <c r="AG67" s="146"/>
      <c r="AH67" s="146"/>
    </row>
    <row r="68" spans="1:34" x14ac:dyDescent="0.25">
      <c r="B68" s="12" t="s">
        <v>82</v>
      </c>
      <c r="C68" s="13" t="s">
        <v>395</v>
      </c>
      <c r="D68" s="13" t="s">
        <v>10</v>
      </c>
      <c r="E68" s="858" t="s">
        <v>410</v>
      </c>
      <c r="F68" s="859"/>
      <c r="G68" s="340">
        <f>G63+G64</f>
        <v>0.61481082300836709</v>
      </c>
      <c r="H68" s="341">
        <f>H63+H64</f>
        <v>1.6244823764493153</v>
      </c>
      <c r="K68" s="12" t="s">
        <v>82</v>
      </c>
      <c r="L68" s="13" t="s">
        <v>395</v>
      </c>
      <c r="M68" s="13" t="s">
        <v>10</v>
      </c>
      <c r="N68" s="858" t="s">
        <v>410</v>
      </c>
      <c r="O68" s="859"/>
      <c r="P68" s="340">
        <f>P63+P64</f>
        <v>0</v>
      </c>
      <c r="Q68" s="341">
        <f>Q63+Q64</f>
        <v>0</v>
      </c>
      <c r="T68" s="12" t="s">
        <v>82</v>
      </c>
      <c r="U68" s="13" t="s">
        <v>395</v>
      </c>
      <c r="V68" s="13" t="s">
        <v>10</v>
      </c>
      <c r="W68" s="858" t="s">
        <v>410</v>
      </c>
      <c r="X68" s="859"/>
      <c r="Y68" s="340">
        <f>Y63+Y64</f>
        <v>0.25971496513415071</v>
      </c>
      <c r="Z68" s="340">
        <f>Z63+Z64</f>
        <v>0.61481082300836709</v>
      </c>
      <c r="AA68" s="340">
        <f>AA63+AA64</f>
        <v>0.76360575745205483</v>
      </c>
      <c r="AB68" s="341">
        <f>AB63+AB64</f>
        <v>1.6244823764493153</v>
      </c>
      <c r="AC68" s="146"/>
      <c r="AD68" s="146"/>
      <c r="AE68" s="146"/>
      <c r="AF68" s="146"/>
      <c r="AG68" s="146"/>
      <c r="AH68" s="146"/>
    </row>
    <row r="69" spans="1:34" x14ac:dyDescent="0.25">
      <c r="B69" s="210" t="s">
        <v>83</v>
      </c>
      <c r="C69" s="244" t="s">
        <v>81</v>
      </c>
      <c r="D69" s="244" t="s">
        <v>58</v>
      </c>
      <c r="E69" s="858" t="s">
        <v>411</v>
      </c>
      <c r="F69" s="859"/>
      <c r="G69" s="341">
        <f>IF(F46=0,F52,F46)</f>
        <v>2.5022828547945207E-2</v>
      </c>
      <c r="H69" s="341">
        <f>IF(H48+H50=0,H53,H48+H50)</f>
        <v>3.3030136986301369E-2</v>
      </c>
      <c r="K69" s="210" t="s">
        <v>83</v>
      </c>
      <c r="L69" s="244" t="s">
        <v>81</v>
      </c>
      <c r="M69" s="244" t="s">
        <v>58</v>
      </c>
      <c r="N69" s="858" t="s">
        <v>411</v>
      </c>
      <c r="O69" s="859"/>
      <c r="P69" s="341">
        <f>IF(O46=0,O52,O46)</f>
        <v>0</v>
      </c>
      <c r="Q69" s="341">
        <f>IF(Q48+Q50=0,Q53,Q48+Q50)</f>
        <v>0</v>
      </c>
      <c r="T69" s="12" t="s">
        <v>83</v>
      </c>
      <c r="U69" s="13" t="s">
        <v>81</v>
      </c>
      <c r="V69" s="13" t="s">
        <v>58</v>
      </c>
      <c r="W69" s="858" t="s">
        <v>411</v>
      </c>
      <c r="X69" s="859"/>
      <c r="Y69" s="14">
        <f>IF(W46=0,W52,W46)</f>
        <v>0</v>
      </c>
      <c r="Z69" s="14">
        <f>IF(X46=0,X52,X46)</f>
        <v>2.5022828547945207E-2</v>
      </c>
      <c r="AA69" s="14">
        <f>IF(Z48+Z50=0,Z53,Z48+Z50)</f>
        <v>0</v>
      </c>
      <c r="AB69" s="15">
        <f>IF(AA48+AA50=0,AA53,AA48+AA50)</f>
        <v>3.3030136986301369E-2</v>
      </c>
      <c r="AC69" s="146"/>
      <c r="AD69" s="146"/>
      <c r="AE69" s="146"/>
      <c r="AF69" s="146"/>
      <c r="AG69" s="146"/>
      <c r="AH69" s="146"/>
    </row>
    <row r="70" spans="1:34" x14ac:dyDescent="0.25">
      <c r="B70" s="210" t="s">
        <v>155</v>
      </c>
      <c r="C70" s="244" t="s">
        <v>393</v>
      </c>
      <c r="D70" s="244" t="s">
        <v>73</v>
      </c>
      <c r="E70" s="854" t="s">
        <v>412</v>
      </c>
      <c r="F70" s="855"/>
      <c r="G70" s="138">
        <f>IF(G69=0,0,G68/G69)</f>
        <v>24.569997026129698</v>
      </c>
      <c r="H70" s="138">
        <f>IF(H69=0,0,H68/H69)</f>
        <v>49.181823772727277</v>
      </c>
      <c r="K70" s="210" t="s">
        <v>155</v>
      </c>
      <c r="L70" s="244" t="s">
        <v>393</v>
      </c>
      <c r="M70" s="244" t="s">
        <v>73</v>
      </c>
      <c r="N70" s="854" t="s">
        <v>412</v>
      </c>
      <c r="O70" s="855"/>
      <c r="P70" s="138">
        <f>IF(P69=0,0,P68/P69)</f>
        <v>0</v>
      </c>
      <c r="Q70" s="138">
        <f>IF(Q69=0,0,Q68/Q69)</f>
        <v>0</v>
      </c>
      <c r="T70" s="12" t="s">
        <v>155</v>
      </c>
      <c r="U70" s="13" t="s">
        <v>393</v>
      </c>
      <c r="V70" s="13" t="s">
        <v>73</v>
      </c>
      <c r="W70" s="854" t="s">
        <v>412</v>
      </c>
      <c r="X70" s="855"/>
      <c r="Y70" s="137">
        <f>IF(Y69=0,0,Y68/Y69)</f>
        <v>0</v>
      </c>
      <c r="Z70" s="137">
        <f>IF(Z69=0,0,Z68/Z69)</f>
        <v>24.569997026129698</v>
      </c>
      <c r="AA70" s="137">
        <f>IF(AA69=0,0,AA68/AA69)</f>
        <v>0</v>
      </c>
      <c r="AB70" s="138">
        <f>IF(AB69=0,0,AB68/AB69)</f>
        <v>49.181823772727277</v>
      </c>
      <c r="AC70" s="146"/>
      <c r="AD70" s="146"/>
      <c r="AE70" s="146"/>
      <c r="AF70" s="146"/>
      <c r="AG70" s="146"/>
      <c r="AH70" s="146"/>
    </row>
    <row r="71" spans="1:34" x14ac:dyDescent="0.25">
      <c r="B71" s="210" t="s">
        <v>355</v>
      </c>
      <c r="C71" s="244" t="str">
        <f>CONCATENATE("UPLATŇOVANÁ CENA pro vodné, stočné +",Provozování!E97*100,"% DPH")</f>
        <v>UPLATŇOVANÁ CENA pro vodné, stočné +12% DPH</v>
      </c>
      <c r="D71" s="244" t="s">
        <v>73</v>
      </c>
      <c r="E71" s="854" t="s">
        <v>413</v>
      </c>
      <c r="F71" s="855"/>
      <c r="G71" s="138">
        <f>G70*(1+Provozování!E$97)</f>
        <v>27.518396669265265</v>
      </c>
      <c r="H71" s="138">
        <f>H70*(1+Provozování!F$97)</f>
        <v>55.083642625454559</v>
      </c>
      <c r="K71" s="210" t="s">
        <v>355</v>
      </c>
      <c r="L71" s="244" t="str">
        <f>C71</f>
        <v>UPLATŇOVANÁ CENA pro vodné, stočné +12% DPH</v>
      </c>
      <c r="M71" s="244" t="s">
        <v>73</v>
      </c>
      <c r="N71" s="854" t="s">
        <v>413</v>
      </c>
      <c r="O71" s="855"/>
      <c r="P71" s="138">
        <f>P70*(1+Provozování!E$97)</f>
        <v>0</v>
      </c>
      <c r="Q71" s="138">
        <f>Q70*(1+Provozování!F$97)</f>
        <v>0</v>
      </c>
      <c r="T71" s="12" t="s">
        <v>355</v>
      </c>
      <c r="U71" s="13" t="str">
        <f>C71</f>
        <v>UPLATŇOVANÁ CENA pro vodné, stočné +12% DPH</v>
      </c>
      <c r="V71" s="13" t="s">
        <v>73</v>
      </c>
      <c r="W71" s="854" t="s">
        <v>413</v>
      </c>
      <c r="X71" s="855"/>
      <c r="Y71" s="137">
        <f>Y70*(1+Provozování!E$97)</f>
        <v>0</v>
      </c>
      <c r="Z71" s="137">
        <f>Z70*(1+Provozování!E$97)</f>
        <v>27.518396669265265</v>
      </c>
      <c r="AA71" s="137">
        <f>AA70*(1+Provozování!F$97)</f>
        <v>0</v>
      </c>
      <c r="AB71" s="138">
        <f>AB70*(1+Provozování!F$97)</f>
        <v>55.083642625454559</v>
      </c>
      <c r="AC71" s="146"/>
      <c r="AD71" s="146"/>
      <c r="AE71" s="146"/>
      <c r="AF71" s="146"/>
      <c r="AG71" s="146"/>
      <c r="AH71" s="146"/>
    </row>
    <row r="72" spans="1:34" x14ac:dyDescent="0.25">
      <c r="B72" s="210" t="s">
        <v>356</v>
      </c>
      <c r="C72" s="244" t="s">
        <v>357</v>
      </c>
      <c r="D72" s="244" t="s">
        <v>73</v>
      </c>
      <c r="E72" s="884" t="s">
        <v>414</v>
      </c>
      <c r="F72" s="869"/>
      <c r="G72" s="138">
        <v>0</v>
      </c>
      <c r="H72" s="138">
        <v>0</v>
      </c>
      <c r="K72" s="210" t="s">
        <v>356</v>
      </c>
      <c r="L72" s="244" t="s">
        <v>357</v>
      </c>
      <c r="M72" s="244" t="s">
        <v>73</v>
      </c>
      <c r="N72" s="884" t="s">
        <v>414</v>
      </c>
      <c r="O72" s="869"/>
      <c r="P72" s="138">
        <v>0</v>
      </c>
      <c r="Q72" s="138">
        <v>0</v>
      </c>
      <c r="T72" s="528" t="s">
        <v>356</v>
      </c>
      <c r="U72" s="2" t="s">
        <v>357</v>
      </c>
      <c r="V72" s="2" t="s">
        <v>73</v>
      </c>
      <c r="W72" s="884" t="s">
        <v>414</v>
      </c>
      <c r="X72" s="869"/>
      <c r="Y72" s="529">
        <v>0</v>
      </c>
      <c r="Z72" s="529">
        <v>0</v>
      </c>
      <c r="AA72" s="529">
        <v>0</v>
      </c>
      <c r="AB72" s="530">
        <v>0</v>
      </c>
      <c r="AC72" s="146"/>
      <c r="AD72" s="146"/>
      <c r="AE72" s="146"/>
      <c r="AF72" s="146"/>
      <c r="AG72" s="146"/>
      <c r="AH72" s="146"/>
    </row>
    <row r="73" spans="1:34" ht="15" customHeight="1" x14ac:dyDescent="0.25">
      <c r="B73" s="29"/>
      <c r="C73" s="29"/>
      <c r="D73" s="29"/>
      <c r="E73" s="29"/>
      <c r="F73" s="29"/>
      <c r="G73" s="29"/>
      <c r="H73" s="29"/>
      <c r="I73" s="29"/>
      <c r="J73" s="29"/>
      <c r="K73" s="29"/>
      <c r="L73" s="29"/>
      <c r="M73" s="29"/>
      <c r="N73" s="29"/>
      <c r="O73" s="29"/>
      <c r="P73" s="29"/>
      <c r="Q73" s="29"/>
      <c r="R73" s="29"/>
      <c r="T73" s="1089" t="s">
        <v>364</v>
      </c>
      <c r="U73" s="1089" t="s">
        <v>154</v>
      </c>
      <c r="V73" s="882" t="s">
        <v>10</v>
      </c>
      <c r="W73" s="854" t="s">
        <v>156</v>
      </c>
      <c r="X73" s="858"/>
      <c r="Y73" s="89" t="s">
        <v>158</v>
      </c>
      <c r="Z73" s="92" t="s">
        <v>159</v>
      </c>
      <c r="AA73" s="89" t="s">
        <v>158</v>
      </c>
      <c r="AB73" s="92" t="s">
        <v>159</v>
      </c>
      <c r="AC73" s="146"/>
      <c r="AD73" s="146"/>
      <c r="AE73" s="146"/>
      <c r="AF73" s="146"/>
      <c r="AG73" s="146"/>
      <c r="AH73" s="146"/>
    </row>
    <row r="74" spans="1:34" x14ac:dyDescent="0.25">
      <c r="B74" s="383" t="s">
        <v>283</v>
      </c>
      <c r="C74" s="382"/>
      <c r="D74" s="382"/>
      <c r="E74" s="382"/>
      <c r="F74" s="382"/>
      <c r="G74" s="29"/>
      <c r="H74" s="29"/>
      <c r="I74" s="29"/>
      <c r="J74" s="29"/>
      <c r="K74" s="29"/>
      <c r="L74" s="29"/>
      <c r="M74" s="29"/>
      <c r="N74" s="29"/>
      <c r="O74" s="29"/>
      <c r="P74" s="29"/>
      <c r="Q74" s="29"/>
      <c r="R74" s="29"/>
      <c r="T74" s="1090"/>
      <c r="U74" s="1090"/>
      <c r="V74" s="1092"/>
      <c r="W74" s="1093">
        <v>0</v>
      </c>
      <c r="X74" s="1094"/>
      <c r="Y74" s="90">
        <f>W4</f>
        <v>2024</v>
      </c>
      <c r="Z74" s="90">
        <f>W4</f>
        <v>2024</v>
      </c>
      <c r="AA74" s="90">
        <f>W4</f>
        <v>2024</v>
      </c>
      <c r="AB74" s="90">
        <f>W4</f>
        <v>2024</v>
      </c>
      <c r="AC74" s="146"/>
      <c r="AD74" s="146"/>
      <c r="AE74" s="146"/>
      <c r="AF74" s="146"/>
      <c r="AG74" s="146"/>
      <c r="AH74" s="146"/>
    </row>
    <row r="75" spans="1:34" x14ac:dyDescent="0.25">
      <c r="B75" s="383" t="s">
        <v>284</v>
      </c>
      <c r="C75" s="382"/>
      <c r="D75" s="382"/>
      <c r="E75" s="382"/>
      <c r="F75" s="382"/>
      <c r="G75" s="29"/>
      <c r="H75" s="29"/>
      <c r="I75" s="29"/>
      <c r="J75" s="29"/>
      <c r="K75" s="29"/>
      <c r="L75" s="29"/>
      <c r="M75" s="29"/>
      <c r="N75" s="29"/>
      <c r="O75" s="29"/>
      <c r="P75" s="29"/>
      <c r="Q75" s="29"/>
      <c r="R75" s="29"/>
      <c r="T75" s="1090"/>
      <c r="U75" s="1090"/>
      <c r="V75" s="1092"/>
      <c r="W75" s="854" t="s">
        <v>157</v>
      </c>
      <c r="X75" s="858"/>
      <c r="Y75" s="91" t="s">
        <v>160</v>
      </c>
      <c r="Z75" s="91" t="s">
        <v>160</v>
      </c>
      <c r="AA75" s="91" t="s">
        <v>161</v>
      </c>
      <c r="AB75" s="91" t="s">
        <v>161</v>
      </c>
      <c r="AC75" s="146"/>
      <c r="AD75" s="146"/>
      <c r="AE75" s="146"/>
      <c r="AF75" s="146"/>
      <c r="AG75" s="146"/>
      <c r="AH75" s="146"/>
    </row>
    <row r="76" spans="1:34" x14ac:dyDescent="0.25">
      <c r="B76" s="382"/>
      <c r="C76" s="382"/>
      <c r="D76" s="382"/>
      <c r="E76" s="382"/>
      <c r="F76" s="382"/>
      <c r="G76" s="29"/>
      <c r="H76" s="29"/>
      <c r="I76" s="29"/>
      <c r="J76" s="29"/>
      <c r="K76" s="29"/>
      <c r="L76" s="29"/>
      <c r="M76" s="29"/>
      <c r="N76" s="29"/>
      <c r="O76" s="29"/>
      <c r="P76" s="29"/>
      <c r="Q76" s="29"/>
      <c r="R76" s="29"/>
      <c r="T76" s="1091"/>
      <c r="U76" s="1091"/>
      <c r="V76" s="883"/>
      <c r="W76" s="1095">
        <v>0</v>
      </c>
      <c r="X76" s="1093"/>
      <c r="Y76" s="464">
        <v>0</v>
      </c>
      <c r="Z76" s="464">
        <v>0</v>
      </c>
      <c r="AA76" s="464">
        <v>0</v>
      </c>
      <c r="AB76" s="464">
        <v>0</v>
      </c>
      <c r="AC76" s="146"/>
      <c r="AD76" s="146"/>
      <c r="AE76" s="146"/>
      <c r="AF76" s="146"/>
      <c r="AG76" s="146"/>
      <c r="AH76" s="146"/>
    </row>
    <row r="77" spans="1:34" x14ac:dyDescent="0.25">
      <c r="A77" s="252"/>
      <c r="B77" s="29"/>
      <c r="C77" s="29"/>
      <c r="D77" s="29"/>
      <c r="E77" s="29"/>
      <c r="F77" s="29"/>
      <c r="G77" s="29"/>
      <c r="H77" s="29"/>
      <c r="I77" s="29"/>
      <c r="J77" s="29"/>
      <c r="K77" s="29"/>
      <c r="L77" s="29"/>
      <c r="M77" s="29"/>
      <c r="N77" s="29"/>
      <c r="O77" s="29"/>
      <c r="P77" s="29"/>
      <c r="Q77" s="29"/>
      <c r="R77" s="29"/>
      <c r="AC77" s="146"/>
      <c r="AD77" s="146"/>
      <c r="AE77" s="146"/>
      <c r="AF77" s="146"/>
      <c r="AG77" s="338"/>
      <c r="AH77" s="338"/>
    </row>
    <row r="78" spans="1:34" x14ac:dyDescent="0.25">
      <c r="B78" s="899" t="s">
        <v>316</v>
      </c>
      <c r="C78" s="899"/>
      <c r="D78" s="899"/>
      <c r="E78" s="899"/>
      <c r="F78" s="899"/>
      <c r="G78" s="899"/>
      <c r="H78" s="899"/>
      <c r="K78" s="899" t="s">
        <v>317</v>
      </c>
      <c r="L78" s="899"/>
      <c r="M78" s="899"/>
      <c r="N78" s="899"/>
      <c r="O78" s="899"/>
      <c r="P78" s="899"/>
      <c r="Q78" s="899"/>
      <c r="T78" s="899" t="s">
        <v>162</v>
      </c>
      <c r="U78" s="899"/>
      <c r="V78" s="899"/>
      <c r="W78" s="899"/>
      <c r="X78" s="899"/>
      <c r="Y78" s="899"/>
      <c r="Z78" s="899"/>
      <c r="AA78" s="899"/>
      <c r="AB78" s="899"/>
      <c r="AC78" s="146"/>
      <c r="AD78" s="146"/>
      <c r="AE78" s="146"/>
      <c r="AF78" s="146"/>
      <c r="AG78" s="146"/>
      <c r="AH78" s="146"/>
    </row>
    <row r="79" spans="1:34" x14ac:dyDescent="0.25">
      <c r="C79" s="272"/>
      <c r="E79" s="25"/>
      <c r="F79" s="25"/>
      <c r="L79" s="25"/>
      <c r="N79" s="25"/>
      <c r="T79" s="1079" t="s">
        <v>318</v>
      </c>
      <c r="U79" s="1079"/>
      <c r="V79" s="1079"/>
      <c r="W79" s="1079"/>
      <c r="X79" s="1079"/>
      <c r="Y79" s="1079"/>
      <c r="Z79" s="1079"/>
      <c r="AA79" s="1079"/>
      <c r="AB79" s="1079"/>
      <c r="AC79" s="146"/>
      <c r="AD79" s="146"/>
      <c r="AE79" s="146"/>
      <c r="AF79" s="146"/>
      <c r="AG79" s="146"/>
      <c r="AH79" s="146"/>
    </row>
    <row r="80" spans="1:34" x14ac:dyDescent="0.25">
      <c r="C80" s="272" t="s">
        <v>103</v>
      </c>
      <c r="D80" s="274">
        <f>D4+1</f>
        <v>2025</v>
      </c>
      <c r="E80" s="25"/>
      <c r="F80" s="272" t="s">
        <v>221</v>
      </c>
      <c r="G80" s="275">
        <f>Výpočty!I$48</f>
        <v>45658</v>
      </c>
      <c r="H80" s="275" t="str">
        <f>IF(Výpočty!I$49="-"," ",CONCATENATE("- ",DAY(Výpočty!I$49),".",MONTH(Výpočty!I$49),".",D80))</f>
        <v>- 31.12.2025</v>
      </c>
      <c r="L80" s="272" t="s">
        <v>103</v>
      </c>
      <c r="M80" s="274">
        <f>D80</f>
        <v>2025</v>
      </c>
      <c r="O80" s="272" t="s">
        <v>221</v>
      </c>
      <c r="P80" s="360" t="str">
        <f>Výpočty!I$44</f>
        <v>-</v>
      </c>
      <c r="Q80" s="360" t="str">
        <f>IF(P80="-"," ",H80)</f>
        <v xml:space="preserve"> </v>
      </c>
      <c r="T80" s="333"/>
      <c r="U80" s="333"/>
      <c r="V80" s="342" t="s">
        <v>147</v>
      </c>
      <c r="W80" s="274">
        <f>D80</f>
        <v>2025</v>
      </c>
      <c r="Z80" s="272" t="s">
        <v>221</v>
      </c>
      <c r="AA80" s="275">
        <f>G80</f>
        <v>45658</v>
      </c>
      <c r="AB80" s="275" t="str">
        <f>H80</f>
        <v>- 31.12.2025</v>
      </c>
      <c r="AC80" s="146"/>
      <c r="AD80" s="146"/>
    </row>
    <row r="81" spans="2:38" x14ac:dyDescent="0.25">
      <c r="B81" s="13" t="s">
        <v>66</v>
      </c>
      <c r="C81" s="13" t="s">
        <v>89</v>
      </c>
      <c r="D81" s="902" t="str">
        <f t="shared" ref="D81:D86" si="9">D5</f>
        <v>PRVOK s.r.o., IČ 281 28 257</v>
      </c>
      <c r="E81" s="903"/>
      <c r="F81" s="903"/>
      <c r="G81" s="903"/>
      <c r="H81" s="904"/>
      <c r="K81" s="13" t="s">
        <v>66</v>
      </c>
      <c r="L81" s="13" t="s">
        <v>89</v>
      </c>
      <c r="M81" s="1080" t="str">
        <f>D81</f>
        <v>PRVOK s.r.o., IČ 281 28 257</v>
      </c>
      <c r="N81" s="1081"/>
      <c r="O81" s="1081"/>
      <c r="P81" s="1081"/>
      <c r="Q81" s="1081"/>
      <c r="T81" s="13" t="s">
        <v>66</v>
      </c>
      <c r="U81" s="13" t="s">
        <v>89</v>
      </c>
      <c r="V81" s="1080" t="str">
        <f>D81</f>
        <v>PRVOK s.r.o., IČ 281 28 257</v>
      </c>
      <c r="W81" s="1081"/>
      <c r="X81" s="1081"/>
      <c r="Y81" s="1081"/>
      <c r="Z81" s="1081"/>
      <c r="AA81" s="1081"/>
      <c r="AB81" s="1081"/>
      <c r="AC81" s="146"/>
      <c r="AD81" s="146"/>
    </row>
    <row r="82" spans="2:38" x14ac:dyDescent="0.25">
      <c r="B82" s="13" t="s">
        <v>84</v>
      </c>
      <c r="C82" s="13" t="s">
        <v>90</v>
      </c>
      <c r="D82" s="902" t="str">
        <f t="shared" si="9"/>
        <v>PRVOK s.r.o., IČ 281 28 257</v>
      </c>
      <c r="E82" s="903"/>
      <c r="F82" s="903"/>
      <c r="G82" s="903"/>
      <c r="H82" s="904"/>
      <c r="K82" s="13" t="s">
        <v>84</v>
      </c>
      <c r="L82" s="13" t="s">
        <v>90</v>
      </c>
      <c r="M82" s="1061" t="str">
        <f>D82</f>
        <v>PRVOK s.r.o., IČ 281 28 257</v>
      </c>
      <c r="N82" s="1062"/>
      <c r="O82" s="1062"/>
      <c r="P82" s="1062"/>
      <c r="Q82" s="1063"/>
      <c r="T82" s="13" t="s">
        <v>84</v>
      </c>
      <c r="U82" s="13" t="s">
        <v>90</v>
      </c>
      <c r="V82" s="1061" t="str">
        <f>D82</f>
        <v>PRVOK s.r.o., IČ 281 28 257</v>
      </c>
      <c r="W82" s="1062"/>
      <c r="X82" s="1062"/>
      <c r="Y82" s="1062"/>
      <c r="Z82" s="1062"/>
      <c r="AA82" s="1062"/>
      <c r="AB82" s="1063"/>
      <c r="AC82" s="146"/>
      <c r="AD82" s="146"/>
    </row>
    <row r="83" spans="2:38" x14ac:dyDescent="0.25">
      <c r="B83" s="13" t="s">
        <v>85</v>
      </c>
      <c r="C83" s="13" t="s">
        <v>91</v>
      </c>
      <c r="D83" s="902" t="str">
        <f t="shared" si="9"/>
        <v>Obec Benešov nad Černou, IČ 00245780</v>
      </c>
      <c r="E83" s="903"/>
      <c r="F83" s="903"/>
      <c r="G83" s="903"/>
      <c r="H83" s="904"/>
      <c r="K83" s="13" t="s">
        <v>85</v>
      </c>
      <c r="L83" s="13" t="s">
        <v>91</v>
      </c>
      <c r="M83" s="1061" t="str">
        <f>D83</f>
        <v>Obec Benešov nad Černou, IČ 00245780</v>
      </c>
      <c r="N83" s="1062"/>
      <c r="O83" s="1062"/>
      <c r="P83" s="1062"/>
      <c r="Q83" s="1063"/>
      <c r="T83" s="13" t="s">
        <v>85</v>
      </c>
      <c r="U83" s="13" t="s">
        <v>91</v>
      </c>
      <c r="V83" s="1061" t="str">
        <f>D83</f>
        <v>Obec Benešov nad Černou, IČ 00245780</v>
      </c>
      <c r="W83" s="1062"/>
      <c r="X83" s="1062"/>
      <c r="Y83" s="1062"/>
      <c r="Z83" s="1062"/>
      <c r="AA83" s="1062"/>
      <c r="AB83" s="1063"/>
      <c r="AC83" s="146"/>
      <c r="AD83" s="146"/>
      <c r="AK83" s="146"/>
      <c r="AL83" s="146"/>
    </row>
    <row r="84" spans="2:38" x14ac:dyDescent="0.25">
      <c r="B84" s="13" t="s">
        <v>86</v>
      </c>
      <c r="C84" s="13" t="s">
        <v>93</v>
      </c>
      <c r="D84" s="1055" t="str">
        <f t="shared" si="9"/>
        <v>A</v>
      </c>
      <c r="E84" s="1056"/>
      <c r="F84" s="1056"/>
      <c r="G84" s="1056"/>
      <c r="H84" s="1057"/>
      <c r="K84" s="13" t="s">
        <v>86</v>
      </c>
      <c r="L84" s="13" t="s">
        <v>93</v>
      </c>
      <c r="M84" s="1058" t="str">
        <f>IF($D84="[vyplnit]"," ",$D84)</f>
        <v>A</v>
      </c>
      <c r="N84" s="1059"/>
      <c r="O84" s="1059"/>
      <c r="P84" s="1059"/>
      <c r="Q84" s="1060"/>
      <c r="T84" s="13" t="s">
        <v>86</v>
      </c>
      <c r="U84" s="13" t="s">
        <v>93</v>
      </c>
      <c r="V84" s="1064" t="str">
        <f>IF($D84="[vyplnit]"," ",$D84)</f>
        <v>A</v>
      </c>
      <c r="W84" s="1064"/>
      <c r="X84" s="1064"/>
      <c r="Y84" s="1064"/>
      <c r="Z84" s="1064"/>
      <c r="AA84" s="1064"/>
      <c r="AB84" s="1064"/>
      <c r="AC84" s="146"/>
      <c r="AD84" s="146"/>
      <c r="AK84" s="146"/>
      <c r="AL84" s="146"/>
    </row>
    <row r="85" spans="2:38" x14ac:dyDescent="0.25">
      <c r="B85" s="13" t="s">
        <v>87</v>
      </c>
      <c r="C85" s="13" t="s">
        <v>92</v>
      </c>
      <c r="D85" s="1055">
        <f t="shared" si="9"/>
        <v>1</v>
      </c>
      <c r="E85" s="1056"/>
      <c r="F85" s="1056"/>
      <c r="G85" s="1056"/>
      <c r="H85" s="1057"/>
      <c r="K85" s="13" t="s">
        <v>87</v>
      </c>
      <c r="L85" s="13" t="s">
        <v>92</v>
      </c>
      <c r="M85" s="1058">
        <f>IF($D85="[vyplnit]"," ",$D85)</f>
        <v>1</v>
      </c>
      <c r="N85" s="1059"/>
      <c r="O85" s="1059"/>
      <c r="P85" s="1059"/>
      <c r="Q85" s="1060"/>
      <c r="T85" s="13" t="s">
        <v>87</v>
      </c>
      <c r="U85" s="13" t="s">
        <v>92</v>
      </c>
      <c r="V85" s="1064">
        <f>IF($D85="[vyplnit]"," ",$D85)</f>
        <v>1</v>
      </c>
      <c r="W85" s="1064"/>
      <c r="X85" s="1064"/>
      <c r="Y85" s="1064"/>
      <c r="Z85" s="1064"/>
      <c r="AA85" s="1064"/>
      <c r="AB85" s="1064"/>
      <c r="AC85" s="146"/>
      <c r="AD85" s="146"/>
      <c r="AK85" s="146"/>
      <c r="AL85" s="146"/>
    </row>
    <row r="86" spans="2:38" x14ac:dyDescent="0.25">
      <c r="B86" s="13" t="s">
        <v>88</v>
      </c>
      <c r="C86" s="13" t="s">
        <v>94</v>
      </c>
      <c r="D86" s="1055" t="str">
        <f t="shared" si="9"/>
        <v>[vyplnit]</v>
      </c>
      <c r="E86" s="1056"/>
      <c r="F86" s="1056"/>
      <c r="G86" s="1056"/>
      <c r="H86" s="1057"/>
      <c r="K86" s="13" t="s">
        <v>88</v>
      </c>
      <c r="L86" s="13" t="s">
        <v>94</v>
      </c>
      <c r="M86" s="1058" t="str">
        <f>IF($D86="[vyplnit]"," ",$D86)</f>
        <v xml:space="preserve"> </v>
      </c>
      <c r="N86" s="1059"/>
      <c r="O86" s="1059"/>
      <c r="P86" s="1059"/>
      <c r="Q86" s="1060"/>
      <c r="T86" s="13" t="s">
        <v>88</v>
      </c>
      <c r="U86" s="13" t="s">
        <v>94</v>
      </c>
      <c r="V86" s="1064" t="str">
        <f>IF($D86="[vyplnit]"," ",$D86)</f>
        <v xml:space="preserve"> </v>
      </c>
      <c r="W86" s="1064"/>
      <c r="X86" s="1064"/>
      <c r="Y86" s="1064"/>
      <c r="Z86" s="1064"/>
      <c r="AA86" s="1064"/>
      <c r="AB86" s="1064"/>
      <c r="AC86" s="146"/>
      <c r="AD86" s="146"/>
      <c r="AK86" s="146"/>
      <c r="AL86" s="146"/>
    </row>
    <row r="87" spans="2:38" x14ac:dyDescent="0.25">
      <c r="AC87" s="146"/>
      <c r="AK87" s="146"/>
      <c r="AL87" s="146"/>
    </row>
    <row r="88" spans="2:38" ht="15" customHeight="1" x14ac:dyDescent="0.25">
      <c r="B88" s="1052" t="s">
        <v>5</v>
      </c>
      <c r="C88" s="884" t="s">
        <v>0</v>
      </c>
      <c r="D88" s="868"/>
      <c r="E88" s="868"/>
      <c r="F88" s="868"/>
      <c r="G88" s="868"/>
      <c r="H88" s="869"/>
      <c r="K88" s="1052" t="s">
        <v>5</v>
      </c>
      <c r="L88" s="884" t="s">
        <v>0</v>
      </c>
      <c r="M88" s="868"/>
      <c r="N88" s="868"/>
      <c r="O88" s="868"/>
      <c r="P88" s="868"/>
      <c r="Q88" s="869"/>
      <c r="T88" s="1052" t="s">
        <v>5</v>
      </c>
      <c r="U88" s="884" t="s">
        <v>0</v>
      </c>
      <c r="V88" s="868"/>
      <c r="W88" s="868"/>
      <c r="X88" s="868"/>
      <c r="Y88" s="868"/>
      <c r="Z88" s="868"/>
      <c r="AA88" s="868"/>
      <c r="AB88" s="869"/>
      <c r="AC88" s="146"/>
      <c r="AK88" s="146"/>
      <c r="AL88" s="146"/>
    </row>
    <row r="89" spans="2:38" x14ac:dyDescent="0.25">
      <c r="B89" s="1053"/>
      <c r="C89" s="1052" t="s">
        <v>1</v>
      </c>
      <c r="D89" s="1065" t="s">
        <v>133</v>
      </c>
      <c r="E89" s="884" t="s">
        <v>3</v>
      </c>
      <c r="F89" s="868"/>
      <c r="G89" s="884" t="s">
        <v>4</v>
      </c>
      <c r="H89" s="869"/>
      <c r="K89" s="1053"/>
      <c r="L89" s="1052" t="s">
        <v>1</v>
      </c>
      <c r="M89" s="1065" t="s">
        <v>133</v>
      </c>
      <c r="N89" s="884" t="s">
        <v>3</v>
      </c>
      <c r="O89" s="868"/>
      <c r="P89" s="884" t="s">
        <v>4</v>
      </c>
      <c r="Q89" s="869"/>
      <c r="T89" s="1053"/>
      <c r="U89" s="1052" t="s">
        <v>1</v>
      </c>
      <c r="V89" s="1065" t="s">
        <v>133</v>
      </c>
      <c r="W89" s="884" t="s">
        <v>3</v>
      </c>
      <c r="X89" s="868"/>
      <c r="Y89" s="868"/>
      <c r="Z89" s="884" t="s">
        <v>4</v>
      </c>
      <c r="AA89" s="868"/>
      <c r="AB89" s="869"/>
      <c r="AC89" s="146"/>
      <c r="AK89" s="146"/>
      <c r="AL89" s="146"/>
    </row>
    <row r="90" spans="2:38" x14ac:dyDescent="0.25">
      <c r="B90" s="1053"/>
      <c r="C90" s="1053"/>
      <c r="D90" s="1053"/>
      <c r="E90" s="28">
        <f>D80-1</f>
        <v>2024</v>
      </c>
      <c r="F90" s="28">
        <f>D80</f>
        <v>2025</v>
      </c>
      <c r="G90" s="28">
        <f>D80-1</f>
        <v>2024</v>
      </c>
      <c r="H90" s="28">
        <f>D80</f>
        <v>2025</v>
      </c>
      <c r="K90" s="1053"/>
      <c r="L90" s="1053"/>
      <c r="M90" s="1053"/>
      <c r="N90" s="28">
        <f>M80-1</f>
        <v>2024</v>
      </c>
      <c r="O90" s="28">
        <f>M80</f>
        <v>2025</v>
      </c>
      <c r="P90" s="28">
        <f>M80-1</f>
        <v>2024</v>
      </c>
      <c r="Q90" s="28">
        <f>M80</f>
        <v>2025</v>
      </c>
      <c r="T90" s="1053"/>
      <c r="U90" s="1053"/>
      <c r="V90" s="1053"/>
      <c r="W90" s="28">
        <f>W80</f>
        <v>2025</v>
      </c>
      <c r="X90" s="28">
        <f>W80</f>
        <v>2025</v>
      </c>
      <c r="Y90" s="28">
        <f>W80</f>
        <v>2025</v>
      </c>
      <c r="Z90" s="28">
        <f>W80</f>
        <v>2025</v>
      </c>
      <c r="AA90" s="28">
        <f>W80</f>
        <v>2025</v>
      </c>
      <c r="AB90" s="28">
        <f>W80</f>
        <v>2025</v>
      </c>
      <c r="AC90" s="146"/>
      <c r="AK90" s="146"/>
      <c r="AL90" s="146"/>
    </row>
    <row r="91" spans="2:38" x14ac:dyDescent="0.25">
      <c r="B91" s="1054"/>
      <c r="C91" s="1054"/>
      <c r="D91" s="1054"/>
      <c r="E91" s="7" t="s">
        <v>151</v>
      </c>
      <c r="F91" s="7" t="s">
        <v>98</v>
      </c>
      <c r="G91" s="7" t="s">
        <v>151</v>
      </c>
      <c r="H91" s="19" t="s">
        <v>98</v>
      </c>
      <c r="K91" s="1054"/>
      <c r="L91" s="1054"/>
      <c r="M91" s="1054"/>
      <c r="N91" s="7" t="s">
        <v>151</v>
      </c>
      <c r="O91" s="7" t="s">
        <v>98</v>
      </c>
      <c r="P91" s="7" t="s">
        <v>151</v>
      </c>
      <c r="Q91" s="19" t="s">
        <v>98</v>
      </c>
      <c r="T91" s="1054"/>
      <c r="U91" s="1054"/>
      <c r="V91" s="1054"/>
      <c r="W91" s="7" t="s">
        <v>150</v>
      </c>
      <c r="X91" s="7" t="s">
        <v>98</v>
      </c>
      <c r="Y91" s="7" t="s">
        <v>149</v>
      </c>
      <c r="Z91" s="7" t="s">
        <v>150</v>
      </c>
      <c r="AA91" s="7" t="s">
        <v>98</v>
      </c>
      <c r="AB91" s="19" t="s">
        <v>149</v>
      </c>
      <c r="AC91" s="146"/>
      <c r="AK91" s="146"/>
      <c r="AL91" s="146"/>
    </row>
    <row r="92" spans="2:38" x14ac:dyDescent="0.25">
      <c r="B92" s="11">
        <v>1</v>
      </c>
      <c r="C92" s="11">
        <v>2</v>
      </c>
      <c r="D92" s="11" t="s">
        <v>95</v>
      </c>
      <c r="E92" s="11">
        <v>3</v>
      </c>
      <c r="F92" s="11">
        <v>4</v>
      </c>
      <c r="G92" s="11">
        <v>6</v>
      </c>
      <c r="H92" s="22">
        <v>7</v>
      </c>
      <c r="K92" s="11">
        <v>1</v>
      </c>
      <c r="L92" s="11">
        <v>2</v>
      </c>
      <c r="M92" s="11" t="s">
        <v>95</v>
      </c>
      <c r="N92" s="11">
        <v>3</v>
      </c>
      <c r="O92" s="11">
        <v>4</v>
      </c>
      <c r="P92" s="11">
        <v>6</v>
      </c>
      <c r="Q92" s="22">
        <v>7</v>
      </c>
      <c r="T92" s="11">
        <v>1</v>
      </c>
      <c r="U92" s="11">
        <v>2</v>
      </c>
      <c r="V92" s="11" t="s">
        <v>95</v>
      </c>
      <c r="W92" s="11">
        <v>3</v>
      </c>
      <c r="X92" s="11">
        <v>4</v>
      </c>
      <c r="Y92" s="11">
        <v>5</v>
      </c>
      <c r="Z92" s="11">
        <v>6</v>
      </c>
      <c r="AA92" s="11">
        <v>7</v>
      </c>
      <c r="AB92" s="22">
        <v>8</v>
      </c>
      <c r="AC92" s="146"/>
      <c r="AK92" s="146"/>
      <c r="AL92" s="146"/>
    </row>
    <row r="93" spans="2:38" x14ac:dyDescent="0.25">
      <c r="B93" s="9" t="s">
        <v>8</v>
      </c>
      <c r="C93" s="10" t="s">
        <v>9</v>
      </c>
      <c r="D93" s="11" t="s">
        <v>10</v>
      </c>
      <c r="E93" s="41">
        <f>SUM(E94:E97)</f>
        <v>0</v>
      </c>
      <c r="F93" s="41">
        <f>SUM(F94:F97)</f>
        <v>0.12159999930320001</v>
      </c>
      <c r="G93" s="41">
        <f>SUM(G94:G97)</f>
        <v>0</v>
      </c>
      <c r="H93" s="86">
        <f>SUM(H94:H97)</f>
        <v>6.2399970879999996E-2</v>
      </c>
      <c r="K93" s="9" t="s">
        <v>8</v>
      </c>
      <c r="L93" s="10" t="s">
        <v>9</v>
      </c>
      <c r="M93" s="11" t="s">
        <v>10</v>
      </c>
      <c r="N93" s="41">
        <f>SUM(N94:N97)</f>
        <v>0</v>
      </c>
      <c r="O93" s="41">
        <f>SUM(O94:O97)</f>
        <v>0</v>
      </c>
      <c r="P93" s="41">
        <f>SUM(P94:P97)</f>
        <v>0</v>
      </c>
      <c r="Q93" s="86">
        <f>SUM(Q94:Q97)</f>
        <v>0</v>
      </c>
      <c r="T93" s="9" t="s">
        <v>8</v>
      </c>
      <c r="U93" s="10" t="s">
        <v>9</v>
      </c>
      <c r="V93" s="11" t="s">
        <v>10</v>
      </c>
      <c r="W93" s="86">
        <f t="shared" ref="W93:AB93" si="10">SUM(W94:W97)</f>
        <v>0</v>
      </c>
      <c r="X93" s="86">
        <f t="shared" si="10"/>
        <v>0.12159999930320001</v>
      </c>
      <c r="Y93" s="86">
        <f t="shared" si="10"/>
        <v>-0.12159999930320001</v>
      </c>
      <c r="Z93" s="86">
        <f t="shared" si="10"/>
        <v>0</v>
      </c>
      <c r="AA93" s="86">
        <f t="shared" si="10"/>
        <v>6.2399970879999996E-2</v>
      </c>
      <c r="AB93" s="86">
        <f t="shared" si="10"/>
        <v>-6.2399970879999996E-2</v>
      </c>
      <c r="AC93" s="146"/>
      <c r="AK93" s="146"/>
      <c r="AL93" s="146"/>
    </row>
    <row r="94" spans="2:38" x14ac:dyDescent="0.25">
      <c r="B94" s="12" t="s">
        <v>11</v>
      </c>
      <c r="C94" s="13" t="s">
        <v>12</v>
      </c>
      <c r="D94" s="3" t="s">
        <v>10</v>
      </c>
      <c r="E94" s="44">
        <v>0</v>
      </c>
      <c r="F94" s="44">
        <f>IF(YEAR(Postup!$H$25)&gt;$D$80,Provozování!O23,IF(AND(DAY(Postup!$H$25)=31,MONTH(Postup!$H$25)=12,YEAR(Postup!$H$25)=$D$80),Provozování!O23,IF(YEAR(Postup!$H$25)=$D$80,Provozování!$BL23,0)))</f>
        <v>0.08</v>
      </c>
      <c r="G94" s="44">
        <v>0</v>
      </c>
      <c r="H94" s="334">
        <v>0</v>
      </c>
      <c r="K94" s="12" t="s">
        <v>11</v>
      </c>
      <c r="L94" s="13" t="s">
        <v>12</v>
      </c>
      <c r="M94" s="3" t="s">
        <v>10</v>
      </c>
      <c r="N94" s="44">
        <v>0</v>
      </c>
      <c r="O94" s="44">
        <f>IF(Provozování!$Q$16="Neaktivní",0,Provozování!Q23)</f>
        <v>0</v>
      </c>
      <c r="P94" s="44">
        <v>0</v>
      </c>
      <c r="Q94" s="334">
        <v>0</v>
      </c>
      <c r="T94" s="12" t="s">
        <v>11</v>
      </c>
      <c r="U94" s="13" t="s">
        <v>12</v>
      </c>
      <c r="V94" s="3" t="s">
        <v>10</v>
      </c>
      <c r="W94" s="462">
        <v>0</v>
      </c>
      <c r="X94" s="44">
        <f>IF(Provozování!$Q$16="Neaktivní",F94,O94)</f>
        <v>0.08</v>
      </c>
      <c r="Y94" s="44">
        <f>W94-X94</f>
        <v>-0.08</v>
      </c>
      <c r="Z94" s="337">
        <v>0</v>
      </c>
      <c r="AA94" s="337">
        <v>0</v>
      </c>
      <c r="AB94" s="334">
        <v>0</v>
      </c>
      <c r="AC94" s="146"/>
      <c r="AK94" s="146"/>
      <c r="AL94" s="146"/>
    </row>
    <row r="95" spans="2:38" x14ac:dyDescent="0.25">
      <c r="B95" s="12" t="s">
        <v>13</v>
      </c>
      <c r="C95" s="12" t="s">
        <v>14</v>
      </c>
      <c r="D95" s="3" t="s">
        <v>10</v>
      </c>
      <c r="E95" s="52">
        <v>0</v>
      </c>
      <c r="F95" s="44">
        <f>IF(YEAR(Postup!$H$25)&gt;$D$80,Provozování!O24,IF(AND(DAY(Postup!$H$25)=31,MONTH(Postup!$H$25)=12,YEAR(Postup!$H$25)=$D$80),Provozování!O24,IF(YEAR(Postup!$H$25)=$D$80,Provozování!$BL24,0)))</f>
        <v>0</v>
      </c>
      <c r="G95" s="52">
        <v>0</v>
      </c>
      <c r="H95" s="30">
        <f>IF(YEAR(Postup!$H$25)&gt;$D$80,Provozování!P24,IF(AND(DAY(Postup!$H$25)=31,MONTH(Postup!$H$25)=12,YEAR(Postup!$H$25)=$D$80),Provozování!P24,IF(YEAR(Postup!$H$25)=$D$80,Provozování!$BM24,0)))</f>
        <v>0</v>
      </c>
      <c r="K95" s="12" t="s">
        <v>13</v>
      </c>
      <c r="L95" s="12" t="s">
        <v>14</v>
      </c>
      <c r="M95" s="3" t="s">
        <v>10</v>
      </c>
      <c r="N95" s="52">
        <v>0</v>
      </c>
      <c r="O95" s="44">
        <f>IF(Provozování!$Q$16="Neaktivní",0,Provozování!Q24)</f>
        <v>0</v>
      </c>
      <c r="P95" s="52">
        <v>0</v>
      </c>
      <c r="Q95" s="53">
        <f>IF(Provozování!$Q$16="Neaktivní",0,Provozování!R24)</f>
        <v>0</v>
      </c>
      <c r="T95" s="12" t="s">
        <v>13</v>
      </c>
      <c r="U95" s="12" t="s">
        <v>14</v>
      </c>
      <c r="V95" s="3" t="s">
        <v>10</v>
      </c>
      <c r="W95" s="463">
        <v>0</v>
      </c>
      <c r="X95" s="44">
        <f>IF(Provozování!$Q$16="Neaktivní",F95,O95)</f>
        <v>0</v>
      </c>
      <c r="Y95" s="44">
        <f>W95-X95</f>
        <v>0</v>
      </c>
      <c r="Z95" s="463">
        <v>0</v>
      </c>
      <c r="AA95" s="44">
        <f>IF(Provozování!$Q$16="Neaktivní",H95,Q95)</f>
        <v>0</v>
      </c>
      <c r="AB95" s="30">
        <f>Z95-AA95</f>
        <v>0</v>
      </c>
      <c r="AC95" s="146"/>
      <c r="AK95" s="146"/>
      <c r="AL95" s="146"/>
    </row>
    <row r="96" spans="2:38" x14ac:dyDescent="0.25">
      <c r="B96" s="12" t="s">
        <v>15</v>
      </c>
      <c r="C96" s="13" t="s">
        <v>16</v>
      </c>
      <c r="D96" s="3" t="s">
        <v>10</v>
      </c>
      <c r="E96" s="30">
        <v>0</v>
      </c>
      <c r="F96" s="456">
        <f>IF(YEAR(Postup!$H$25)&gt;$D$80,Provozování!O25,IF(AND(DAY(Postup!$H$25)=31,MONTH(Postup!$H$25)=12,YEAR(Postup!$H$25)=$D$80),Provozování!O25,IF(YEAR(Postup!$H$25)=$D$80,Provozování!$BL25,0)))</f>
        <v>6.9333326400000004E-3</v>
      </c>
      <c r="G96" s="30">
        <v>0</v>
      </c>
      <c r="H96" s="457">
        <f>IF(YEAR(Postup!$H$25)&gt;$D$80,Provozování!P25,IF(AND(DAY(Postup!$H$25)=31,MONTH(Postup!$H$25)=12,YEAR(Postup!$H$25)=$D$80),Provozování!P25,IF(YEAR(Postup!$H$25)=$D$80,Provozování!$BM25,0)))</f>
        <v>5.1999970879999996E-2</v>
      </c>
      <c r="K96" s="12" t="s">
        <v>15</v>
      </c>
      <c r="L96" s="13" t="s">
        <v>16</v>
      </c>
      <c r="M96" s="3" t="s">
        <v>10</v>
      </c>
      <c r="N96" s="30">
        <v>0</v>
      </c>
      <c r="O96" s="456">
        <f>IF(Provozování!$Q$16="Neaktivní",0,Provozování!Q25)</f>
        <v>0</v>
      </c>
      <c r="P96" s="30">
        <v>0</v>
      </c>
      <c r="Q96" s="457">
        <f>IF(Provozování!$Q$16="Neaktivní",0,Provozování!R25)</f>
        <v>0</v>
      </c>
      <c r="T96" s="12" t="s">
        <v>15</v>
      </c>
      <c r="U96" s="13" t="s">
        <v>16</v>
      </c>
      <c r="V96" s="3" t="s">
        <v>10</v>
      </c>
      <c r="W96" s="464">
        <v>0</v>
      </c>
      <c r="X96" s="44">
        <f>IF(Provozování!$Q$16="Neaktivní",F96,O96)</f>
        <v>6.9333326400000004E-3</v>
      </c>
      <c r="Y96" s="44">
        <f>W96-X96</f>
        <v>-6.9333326400000004E-3</v>
      </c>
      <c r="Z96" s="464">
        <v>0</v>
      </c>
      <c r="AA96" s="44">
        <f>IF(Provozování!$Q$16="Neaktivní",H96,Q96)</f>
        <v>5.1999970879999996E-2</v>
      </c>
      <c r="AB96" s="30">
        <f>Z96-AA96</f>
        <v>-5.1999970879999996E-2</v>
      </c>
      <c r="AC96" s="146"/>
      <c r="AK96" s="146"/>
      <c r="AL96" s="146"/>
    </row>
    <row r="97" spans="2:40" x14ac:dyDescent="0.25">
      <c r="B97" s="12" t="s">
        <v>17</v>
      </c>
      <c r="C97" s="13" t="s">
        <v>18</v>
      </c>
      <c r="D97" s="3" t="s">
        <v>10</v>
      </c>
      <c r="E97" s="87">
        <v>0</v>
      </c>
      <c r="F97" s="456">
        <f>IF(YEAR(Postup!$H$25)&gt;$D$80,Provozování!O26,IF(AND(DAY(Postup!$H$25)=31,MONTH(Postup!$H$25)=12,YEAR(Postup!$H$25)=$D$80),Provozování!O26,IF(YEAR(Postup!$H$25)=$D$80,Provozování!$BL26,0)))</f>
        <v>3.4666666663200001E-2</v>
      </c>
      <c r="G97" s="87">
        <v>0</v>
      </c>
      <c r="H97" s="457">
        <f>IF(YEAR(Postup!$H$25)&gt;$D$80,Provozování!P26,IF(AND(DAY(Postup!$H$25)=31,MONTH(Postup!$H$25)=12,YEAR(Postup!$H$25)=$D$80),Provozování!P26,IF(YEAR(Postup!$H$25)=$D$80,Provozování!$BM26,0)))</f>
        <v>1.0400000000000001E-2</v>
      </c>
      <c r="K97" s="12" t="s">
        <v>17</v>
      </c>
      <c r="L97" s="13" t="s">
        <v>18</v>
      </c>
      <c r="M97" s="3" t="s">
        <v>10</v>
      </c>
      <c r="N97" s="87">
        <v>0</v>
      </c>
      <c r="O97" s="456">
        <f>IF(Provozování!$Q$16="Neaktivní",0,Provozování!Q26)</f>
        <v>0</v>
      </c>
      <c r="P97" s="87">
        <v>0</v>
      </c>
      <c r="Q97" s="457">
        <f>IF(Provozování!$Q$16="Neaktivní",0,Provozování!R26)</f>
        <v>0</v>
      </c>
      <c r="T97" s="12" t="s">
        <v>17</v>
      </c>
      <c r="U97" s="13" t="s">
        <v>18</v>
      </c>
      <c r="V97" s="3" t="s">
        <v>10</v>
      </c>
      <c r="W97" s="465">
        <v>0</v>
      </c>
      <c r="X97" s="44">
        <f>IF(Provozování!$Q$16="Neaktivní",F97,O97)</f>
        <v>3.4666666663200001E-2</v>
      </c>
      <c r="Y97" s="44">
        <f>W97-X97</f>
        <v>-3.4666666663200001E-2</v>
      </c>
      <c r="Z97" s="465">
        <v>0</v>
      </c>
      <c r="AA97" s="44">
        <f>IF(Provozování!$Q$16="Neaktivní",H97,Q97)</f>
        <v>1.0400000000000001E-2</v>
      </c>
      <c r="AB97" s="30">
        <f>Z97-AA97</f>
        <v>-1.0400000000000001E-2</v>
      </c>
      <c r="AC97" s="146"/>
      <c r="AK97" s="146"/>
      <c r="AL97" s="146"/>
    </row>
    <row r="98" spans="2:40" x14ac:dyDescent="0.25">
      <c r="B98" s="9" t="s">
        <v>19</v>
      </c>
      <c r="C98" s="10" t="s">
        <v>20</v>
      </c>
      <c r="D98" s="11" t="s">
        <v>10</v>
      </c>
      <c r="E98" s="88">
        <f>SUM(E99:E100)</f>
        <v>0</v>
      </c>
      <c r="F98" s="88">
        <f>SUM(F99:F100)</f>
        <v>3.8133329520000002E-2</v>
      </c>
      <c r="G98" s="88">
        <f>SUM(G99:G100)</f>
        <v>0</v>
      </c>
      <c r="H98" s="86">
        <f>SUM(H99:H100)</f>
        <v>0.41599999583999991</v>
      </c>
      <c r="K98" s="9" t="s">
        <v>19</v>
      </c>
      <c r="L98" s="10" t="s">
        <v>20</v>
      </c>
      <c r="M98" s="11" t="s">
        <v>10</v>
      </c>
      <c r="N98" s="88">
        <f>SUM(N99:N100)</f>
        <v>0</v>
      </c>
      <c r="O98" s="88">
        <f>SUM(O99:O100)</f>
        <v>0</v>
      </c>
      <c r="P98" s="88">
        <f>SUM(P99:P100)</f>
        <v>0</v>
      </c>
      <c r="Q98" s="86">
        <f>SUM(Q99:Q100)</f>
        <v>0</v>
      </c>
      <c r="T98" s="9" t="s">
        <v>19</v>
      </c>
      <c r="U98" s="10" t="s">
        <v>20</v>
      </c>
      <c r="V98" s="11" t="s">
        <v>10</v>
      </c>
      <c r="W98" s="86">
        <f t="shared" ref="W98:AB98" si="11">SUM(W99:W100)</f>
        <v>0</v>
      </c>
      <c r="X98" s="86">
        <f t="shared" si="11"/>
        <v>3.8133329520000002E-2</v>
      </c>
      <c r="Y98" s="86">
        <f t="shared" si="11"/>
        <v>-3.8133329520000002E-2</v>
      </c>
      <c r="Z98" s="86">
        <f t="shared" si="11"/>
        <v>0</v>
      </c>
      <c r="AA98" s="86">
        <f t="shared" si="11"/>
        <v>0.41599999583999991</v>
      </c>
      <c r="AB98" s="86">
        <f t="shared" si="11"/>
        <v>-0.41599999583999991</v>
      </c>
      <c r="AC98" s="146"/>
      <c r="AK98" s="146"/>
      <c r="AL98" s="146"/>
    </row>
    <row r="99" spans="2:40" x14ac:dyDescent="0.25">
      <c r="B99" s="12" t="s">
        <v>21</v>
      </c>
      <c r="C99" s="12" t="s">
        <v>22</v>
      </c>
      <c r="D99" s="3" t="s">
        <v>10</v>
      </c>
      <c r="E99" s="30">
        <v>0</v>
      </c>
      <c r="F99" s="456">
        <f>IF(YEAR(Postup!$H$25)&gt;$D$80,Provozování!O28,IF(AND(DAY(Postup!$H$25)=31,MONTH(Postup!$H$25)=12,YEAR(Postup!$H$25)=$D$80),Provozování!O28,IF(YEAR(Postup!$H$25)=$D$80,Provozování!$BL28,0)))</f>
        <v>3.8133329520000002E-2</v>
      </c>
      <c r="G99" s="30">
        <v>0</v>
      </c>
      <c r="H99" s="457">
        <f>IF(YEAR(Postup!$H$25)&gt;$D$80,Provozování!P28,IF(AND(DAY(Postup!$H$25)=31,MONTH(Postup!$H$25)=12,YEAR(Postup!$H$25)=$D$80),Provozování!P28,IF(YEAR(Postup!$H$25)=$D$80,Provozování!$BM28,0)))</f>
        <v>0.41599999583999991</v>
      </c>
      <c r="K99" s="12" t="s">
        <v>21</v>
      </c>
      <c r="L99" s="12" t="s">
        <v>22</v>
      </c>
      <c r="M99" s="3" t="s">
        <v>10</v>
      </c>
      <c r="N99" s="30">
        <v>0</v>
      </c>
      <c r="O99" s="456">
        <f>IF(Provozování!$Q$16="Neaktivní",0,Provozování!Q28)</f>
        <v>0</v>
      </c>
      <c r="P99" s="30">
        <v>0</v>
      </c>
      <c r="Q99" s="457">
        <f>IF(Provozování!$Q$16="Neaktivní",0,Provozování!R28)</f>
        <v>0</v>
      </c>
      <c r="T99" s="12" t="s">
        <v>21</v>
      </c>
      <c r="U99" s="12" t="s">
        <v>22</v>
      </c>
      <c r="V99" s="3" t="s">
        <v>10</v>
      </c>
      <c r="W99" s="462">
        <v>0</v>
      </c>
      <c r="X99" s="44">
        <f>IF(Provozování!$Q$16="Neaktivní",F99,O99)</f>
        <v>3.8133329520000002E-2</v>
      </c>
      <c r="Y99" s="44">
        <f>W99-X99</f>
        <v>-3.8133329520000002E-2</v>
      </c>
      <c r="Z99" s="464">
        <v>0</v>
      </c>
      <c r="AA99" s="44">
        <f>IF(Provozování!$Q$16="Neaktivní",H99,Q99)</f>
        <v>0.41599999583999991</v>
      </c>
      <c r="AB99" s="30">
        <f>Z99-AA99</f>
        <v>-0.41599999583999991</v>
      </c>
      <c r="AC99" s="146"/>
      <c r="AK99" s="146"/>
      <c r="AL99" s="146"/>
    </row>
    <row r="100" spans="2:40" x14ac:dyDescent="0.25">
      <c r="B100" s="12" t="s">
        <v>23</v>
      </c>
      <c r="C100" s="12" t="s">
        <v>24</v>
      </c>
      <c r="D100" s="3" t="s">
        <v>10</v>
      </c>
      <c r="E100" s="87">
        <v>0</v>
      </c>
      <c r="F100" s="456">
        <f>IF(YEAR(Postup!$H$25)&gt;$D$80,Provozování!O29,IF(AND(DAY(Postup!$H$25)=31,MONTH(Postup!$H$25)=12,YEAR(Postup!$H$25)=$D$80),Provozování!O29,IF(YEAR(Postup!$H$25)=$D$80,Provozování!$BL29,0)))</f>
        <v>0</v>
      </c>
      <c r="G100" s="87">
        <v>0</v>
      </c>
      <c r="H100" s="457">
        <f>IF(YEAR(Postup!$H$25)&gt;$D$80,Provozování!P29,IF(AND(DAY(Postup!$H$25)=31,MONTH(Postup!$H$25)=12,YEAR(Postup!$H$25)=$D$80),Provozování!P29,IF(YEAR(Postup!$H$25)=$D$80,Provozování!$BM29,0)))</f>
        <v>0</v>
      </c>
      <c r="K100" s="12" t="s">
        <v>23</v>
      </c>
      <c r="L100" s="12" t="s">
        <v>24</v>
      </c>
      <c r="M100" s="3" t="s">
        <v>10</v>
      </c>
      <c r="N100" s="87">
        <v>0</v>
      </c>
      <c r="O100" s="456">
        <f>IF(Provozování!$Q$16="Neaktivní",0,Provozování!Q29)</f>
        <v>0</v>
      </c>
      <c r="P100" s="87">
        <v>0</v>
      </c>
      <c r="Q100" s="457">
        <f>IF(Provozování!$Q$16="Neaktivní",0,Provozování!R29)</f>
        <v>0</v>
      </c>
      <c r="T100" s="12" t="s">
        <v>23</v>
      </c>
      <c r="U100" s="12" t="s">
        <v>24</v>
      </c>
      <c r="V100" s="3" t="s">
        <v>10</v>
      </c>
      <c r="W100" s="463">
        <v>0</v>
      </c>
      <c r="X100" s="44">
        <f>IF(Provozování!$Q$16="Neaktivní",F100,O100)</f>
        <v>0</v>
      </c>
      <c r="Y100" s="44">
        <f>W100-X100</f>
        <v>0</v>
      </c>
      <c r="Z100" s="465">
        <v>0</v>
      </c>
      <c r="AA100" s="44">
        <f>IF(Provozování!$Q$16="Neaktivní",H100,Q100)</f>
        <v>0</v>
      </c>
      <c r="AB100" s="30">
        <f>Z100-AA100</f>
        <v>0</v>
      </c>
      <c r="AC100" s="146"/>
      <c r="AK100" s="146"/>
      <c r="AL100" s="146"/>
      <c r="AM100" s="146"/>
      <c r="AN100" s="146"/>
    </row>
    <row r="101" spans="2:40" x14ac:dyDescent="0.25">
      <c r="B101" s="9" t="s">
        <v>25</v>
      </c>
      <c r="C101" s="10" t="s">
        <v>400</v>
      </c>
      <c r="D101" s="11" t="s">
        <v>10</v>
      </c>
      <c r="E101" s="41">
        <f>SUM(E102:E103)</f>
        <v>0</v>
      </c>
      <c r="F101" s="41">
        <f>SUM(F102:F103)</f>
        <v>6.9333264000000002E-3</v>
      </c>
      <c r="G101" s="41">
        <f>SUM(G102:G103)</f>
        <v>0</v>
      </c>
      <c r="H101" s="86">
        <f>SUM(H102:H103)</f>
        <v>0.26</v>
      </c>
      <c r="K101" s="9" t="s">
        <v>25</v>
      </c>
      <c r="L101" s="10" t="s">
        <v>400</v>
      </c>
      <c r="M101" s="11" t="s">
        <v>10</v>
      </c>
      <c r="N101" s="41">
        <f>SUM(N102:N103)</f>
        <v>0</v>
      </c>
      <c r="O101" s="41">
        <f>SUM(O102:O103)</f>
        <v>0</v>
      </c>
      <c r="P101" s="41">
        <f>SUM(P102:P103)</f>
        <v>0</v>
      </c>
      <c r="Q101" s="86">
        <f>SUM(Q102:Q103)</f>
        <v>0</v>
      </c>
      <c r="T101" s="9" t="s">
        <v>25</v>
      </c>
      <c r="U101" s="10" t="s">
        <v>400</v>
      </c>
      <c r="V101" s="11" t="s">
        <v>10</v>
      </c>
      <c r="W101" s="86">
        <f t="shared" ref="W101:AB101" si="12">SUM(W102:W103)</f>
        <v>0</v>
      </c>
      <c r="X101" s="86">
        <f t="shared" si="12"/>
        <v>6.9333264000000002E-3</v>
      </c>
      <c r="Y101" s="86">
        <f t="shared" si="12"/>
        <v>-6.9333264000000002E-3</v>
      </c>
      <c r="Z101" s="86">
        <f t="shared" si="12"/>
        <v>0</v>
      </c>
      <c r="AA101" s="86">
        <f t="shared" si="12"/>
        <v>0.26</v>
      </c>
      <c r="AB101" s="86">
        <f t="shared" si="12"/>
        <v>-0.26</v>
      </c>
      <c r="AC101" s="146"/>
      <c r="AD101" s="146"/>
      <c r="AK101" s="146"/>
      <c r="AL101" s="146"/>
      <c r="AM101" s="146"/>
      <c r="AN101" s="146"/>
    </row>
    <row r="102" spans="2:40" x14ac:dyDescent="0.25">
      <c r="B102" s="12" t="s">
        <v>26</v>
      </c>
      <c r="C102" s="13" t="s">
        <v>390</v>
      </c>
      <c r="D102" s="3" t="s">
        <v>10</v>
      </c>
      <c r="E102" s="44">
        <v>0</v>
      </c>
      <c r="F102" s="456">
        <f>IF(YEAR(Postup!$H$25)&gt;$D$80,Provozování!O31,IF(AND(DAY(Postup!$H$25)=31,MONTH(Postup!$H$25)=12,YEAR(Postup!$H$25)=$D$80),Provozování!O31,IF(YEAR(Postup!$H$25)=$D$80,Provozování!$BL31,0)))</f>
        <v>6.9333264000000002E-3</v>
      </c>
      <c r="G102" s="44">
        <v>0</v>
      </c>
      <c r="H102" s="457">
        <f>IF(YEAR(Postup!$H$25)&gt;$D$80,Provozování!P31,IF(AND(DAY(Postup!$H$25)=31,MONTH(Postup!$H$25)=12,YEAR(Postup!$H$25)=$D$80),Provozování!P31,IF(YEAR(Postup!$H$25)=$D$80,Provozování!$BM31,0)))</f>
        <v>0.20800000000000002</v>
      </c>
      <c r="K102" s="12" t="s">
        <v>26</v>
      </c>
      <c r="L102" s="13" t="s">
        <v>390</v>
      </c>
      <c r="M102" s="3" t="s">
        <v>10</v>
      </c>
      <c r="N102" s="44">
        <v>0</v>
      </c>
      <c r="O102" s="456">
        <f>IF(Provozování!$Q$16="Neaktivní",0,Provozování!Q31)</f>
        <v>0</v>
      </c>
      <c r="P102" s="44">
        <v>0</v>
      </c>
      <c r="Q102" s="457">
        <f>IF(Provozování!$Q$16="Neaktivní",0,Provozování!R31)</f>
        <v>0</v>
      </c>
      <c r="T102" s="12" t="s">
        <v>26</v>
      </c>
      <c r="U102" s="13" t="s">
        <v>390</v>
      </c>
      <c r="V102" s="3" t="s">
        <v>10</v>
      </c>
      <c r="W102" s="462">
        <v>0</v>
      </c>
      <c r="X102" s="44">
        <f>IF(Provozování!$Q$16="Neaktivní",F102,O102)</f>
        <v>6.9333264000000002E-3</v>
      </c>
      <c r="Y102" s="44">
        <f>W102-X102</f>
        <v>-6.9333264000000002E-3</v>
      </c>
      <c r="Z102" s="462">
        <v>0</v>
      </c>
      <c r="AA102" s="44">
        <f>IF(Provozování!$Q$16="Neaktivní",H102,Q102)</f>
        <v>0.20800000000000002</v>
      </c>
      <c r="AB102" s="30">
        <f>Z102-AA102</f>
        <v>-0.20800000000000002</v>
      </c>
      <c r="AC102" s="146"/>
      <c r="AD102" s="146"/>
      <c r="AK102" s="146"/>
      <c r="AL102" s="146"/>
      <c r="AM102" s="146"/>
      <c r="AN102" s="146"/>
    </row>
    <row r="103" spans="2:40" x14ac:dyDescent="0.25">
      <c r="B103" s="12" t="s">
        <v>27</v>
      </c>
      <c r="C103" s="13" t="s">
        <v>401</v>
      </c>
      <c r="D103" s="3" t="s">
        <v>10</v>
      </c>
      <c r="E103" s="44">
        <v>0</v>
      </c>
      <c r="F103" s="456">
        <f>IF(YEAR(Postup!$H$25)&gt;$D$80,Provozování!O32,IF(AND(DAY(Postup!$H$25)=31,MONTH(Postup!$H$25)=12,YEAR(Postup!$H$25)=$D$80),Provozování!O32,IF(YEAR(Postup!$H$25)=$D$80,Provozování!$BL32,0)))</f>
        <v>0</v>
      </c>
      <c r="G103" s="44">
        <v>0</v>
      </c>
      <c r="H103" s="457">
        <f>IF(YEAR(Postup!$H$25)&gt;$D$80,Provozování!P32,IF(AND(DAY(Postup!$H$25)=31,MONTH(Postup!$H$25)=12,YEAR(Postup!$H$25)=$D$80),Provozování!P32,IF(YEAR(Postup!$H$25)=$D$80,Provozování!$BM32,0)))</f>
        <v>5.2000000000000005E-2</v>
      </c>
      <c r="K103" s="12" t="s">
        <v>27</v>
      </c>
      <c r="L103" s="13" t="s">
        <v>401</v>
      </c>
      <c r="M103" s="3" t="s">
        <v>10</v>
      </c>
      <c r="N103" s="44">
        <v>0</v>
      </c>
      <c r="O103" s="456">
        <f>IF(Provozování!$Q$16="Neaktivní",0,Provozování!Q32)</f>
        <v>0</v>
      </c>
      <c r="P103" s="44">
        <v>0</v>
      </c>
      <c r="Q103" s="457">
        <f>IF(Provozování!$Q$16="Neaktivní",0,Provozování!R32)</f>
        <v>0</v>
      </c>
      <c r="T103" s="12" t="s">
        <v>27</v>
      </c>
      <c r="U103" s="13" t="s">
        <v>401</v>
      </c>
      <c r="V103" s="3" t="s">
        <v>10</v>
      </c>
      <c r="W103" s="462">
        <v>0</v>
      </c>
      <c r="X103" s="44">
        <f>IF(Provozování!$Q$16="Neaktivní",F103,O103)</f>
        <v>0</v>
      </c>
      <c r="Y103" s="44">
        <f>W103-X103</f>
        <v>0</v>
      </c>
      <c r="Z103" s="462">
        <v>0</v>
      </c>
      <c r="AA103" s="44">
        <f>IF(Provozování!$Q$16="Neaktivní",H103,Q103)</f>
        <v>5.2000000000000005E-2</v>
      </c>
      <c r="AB103" s="30">
        <f>Z103-AA103</f>
        <v>-5.2000000000000005E-2</v>
      </c>
      <c r="AC103" s="146"/>
      <c r="AD103" s="146"/>
      <c r="AK103" s="146"/>
      <c r="AL103" s="146"/>
      <c r="AM103" s="146"/>
      <c r="AN103" s="146"/>
    </row>
    <row r="104" spans="2:40" x14ac:dyDescent="0.25">
      <c r="B104" s="9" t="s">
        <v>28</v>
      </c>
      <c r="C104" s="10" t="s">
        <v>29</v>
      </c>
      <c r="D104" s="11" t="s">
        <v>10</v>
      </c>
      <c r="E104" s="41">
        <f>SUM(E105:E108)</f>
        <v>0</v>
      </c>
      <c r="F104" s="41">
        <f>SUM(F105:F108)</f>
        <v>0.34736</v>
      </c>
      <c r="G104" s="41">
        <f>SUM(G105:G108)</f>
        <v>0</v>
      </c>
      <c r="H104" s="86">
        <f>SUM(H105:H108)</f>
        <v>0.94536000000000009</v>
      </c>
      <c r="K104" s="9" t="s">
        <v>28</v>
      </c>
      <c r="L104" s="10" t="s">
        <v>29</v>
      </c>
      <c r="M104" s="11" t="s">
        <v>10</v>
      </c>
      <c r="N104" s="41">
        <f>SUM(N105:N108)</f>
        <v>0</v>
      </c>
      <c r="O104" s="41">
        <f>SUM(O105:O108)</f>
        <v>0</v>
      </c>
      <c r="P104" s="41">
        <f>SUM(P105:P108)</f>
        <v>0</v>
      </c>
      <c r="Q104" s="86">
        <f>SUM(Q105:Q108)</f>
        <v>0</v>
      </c>
      <c r="T104" s="9" t="s">
        <v>28</v>
      </c>
      <c r="U104" s="10" t="s">
        <v>29</v>
      </c>
      <c r="V104" s="11" t="s">
        <v>10</v>
      </c>
      <c r="W104" s="86">
        <f t="shared" ref="W104:AB104" si="13">SUM(W105:W108)</f>
        <v>0.32656000000000002</v>
      </c>
      <c r="X104" s="86">
        <f t="shared" si="13"/>
        <v>0.34736</v>
      </c>
      <c r="Y104" s="86">
        <f t="shared" si="13"/>
        <v>-2.0800000000000003E-2</v>
      </c>
      <c r="Z104" s="86">
        <f t="shared" si="13"/>
        <v>0.91936000000000007</v>
      </c>
      <c r="AA104" s="86">
        <f t="shared" si="13"/>
        <v>0.94536000000000009</v>
      </c>
      <c r="AB104" s="86">
        <f t="shared" si="13"/>
        <v>-2.6000000000000002E-2</v>
      </c>
      <c r="AC104" s="146"/>
      <c r="AD104" s="146"/>
      <c r="AK104" s="146"/>
      <c r="AL104" s="146"/>
      <c r="AM104" s="146"/>
      <c r="AN104" s="146"/>
    </row>
    <row r="105" spans="2:40" x14ac:dyDescent="0.25">
      <c r="B105" s="12" t="s">
        <v>30</v>
      </c>
      <c r="C105" s="12" t="s">
        <v>381</v>
      </c>
      <c r="D105" s="3" t="s">
        <v>10</v>
      </c>
      <c r="E105" s="44">
        <v>0</v>
      </c>
      <c r="F105" s="336">
        <f>IF(YEAR(Postup!$H$25)&gt;$D$80,Provozování!O34,IF(AND(DAY(Postup!$H$25)=31,MONTH(Postup!$H$25)=12,YEAR(Postup!$H$25)=$D$80),Provozování!O34,IF(YEAR(Postup!$H$25)=$D$80,Provozování!$BL34,0)))</f>
        <v>0</v>
      </c>
      <c r="G105" s="44">
        <v>0</v>
      </c>
      <c r="H105" s="335">
        <f>IF(YEAR(Postup!$H$25)&gt;$D$80,Provozování!P34,IF(AND(DAY(Postup!$H$25)=31,MONTH(Postup!$H$25)=12,YEAR(Postup!$H$25)=$D$80),Provozování!P34,IF(YEAR(Postup!$H$25)=$D$80,Provozování!$BM34,0)))</f>
        <v>0</v>
      </c>
      <c r="K105" s="12" t="s">
        <v>30</v>
      </c>
      <c r="L105" s="12" t="s">
        <v>381</v>
      </c>
      <c r="M105" s="3" t="s">
        <v>10</v>
      </c>
      <c r="N105" s="44">
        <v>0</v>
      </c>
      <c r="O105" s="640">
        <f>IF(Provozování!$Q$16="Neaktivní",0,Provozování!Q34)</f>
        <v>0</v>
      </c>
      <c r="P105" s="44">
        <v>0</v>
      </c>
      <c r="Q105" s="772">
        <f>IF(Provozování!$Q$16="Neaktivní",0,Provozování!R34)</f>
        <v>0</v>
      </c>
      <c r="T105" s="12" t="s">
        <v>30</v>
      </c>
      <c r="U105" s="12" t="s">
        <v>381</v>
      </c>
      <c r="V105" s="3" t="s">
        <v>10</v>
      </c>
      <c r="W105" s="462">
        <v>0</v>
      </c>
      <c r="X105" s="651">
        <f>IF(Provozování!$Q$16="Neaktivní",F105,O105)</f>
        <v>0</v>
      </c>
      <c r="Y105" s="651">
        <f>W105-X105</f>
        <v>0</v>
      </c>
      <c r="Z105" s="462">
        <v>0</v>
      </c>
      <c r="AA105" s="44">
        <f>IF(Provozování!$Q$16="Neaktivní",H105,Q105)</f>
        <v>0</v>
      </c>
      <c r="AB105" s="30">
        <f>Z105-AA105</f>
        <v>0</v>
      </c>
      <c r="AC105" s="146"/>
      <c r="AD105" s="146"/>
      <c r="AK105" s="146"/>
      <c r="AL105" s="146"/>
      <c r="AM105" s="146"/>
      <c r="AN105" s="146"/>
    </row>
    <row r="106" spans="2:40" x14ac:dyDescent="0.25">
      <c r="B106" s="12" t="s">
        <v>32</v>
      </c>
      <c r="C106" s="12" t="s">
        <v>383</v>
      </c>
      <c r="D106" s="3" t="s">
        <v>10</v>
      </c>
      <c r="E106" s="44">
        <v>0</v>
      </c>
      <c r="F106" s="662">
        <f>IF(YEAR(Postup!$H$25)&gt;$D$80,Provozování!O35,IF(AND(DAY(Postup!$H$25)=31,MONTH(Postup!$H$25)=12,YEAR(Postup!$H$25)=$D$80),Provozování!O35,IF(YEAR(Postup!$H$25)=$D$80,Provozování!$BL35,0)))</f>
        <v>0</v>
      </c>
      <c r="G106" s="44">
        <v>0</v>
      </c>
      <c r="H106" s="663">
        <f>IF(YEAR(Postup!$H$25)&gt;$D$80,Provozování!P35,IF(AND(DAY(Postup!$H$25)=31,MONTH(Postup!$H$25)=12,YEAR(Postup!$H$25)=$D$80),Provozování!P35,IF(YEAR(Postup!$H$25)=$D$80,Provozování!$BM35,0)))</f>
        <v>0</v>
      </c>
      <c r="K106" s="12" t="s">
        <v>32</v>
      </c>
      <c r="L106" s="12" t="s">
        <v>383</v>
      </c>
      <c r="M106" s="3" t="s">
        <v>10</v>
      </c>
      <c r="N106" s="44">
        <v>0</v>
      </c>
      <c r="O106" s="666">
        <f>IF(Provozování!$Q$16="Neaktivní",0,Provozování!Q35)</f>
        <v>0</v>
      </c>
      <c r="P106" s="44">
        <v>0</v>
      </c>
      <c r="Q106" s="669">
        <f>IF(Provozování!$Q$16="Neaktivní",0,Provozování!R35)</f>
        <v>0</v>
      </c>
      <c r="T106" s="12" t="s">
        <v>32</v>
      </c>
      <c r="U106" s="12" t="s">
        <v>383</v>
      </c>
      <c r="V106" s="3" t="s">
        <v>10</v>
      </c>
      <c r="W106" s="661">
        <f>IF(Provozování!$Q$16="Aktivní",O106,F106)</f>
        <v>0</v>
      </c>
      <c r="X106" s="651">
        <f>IF(Provozování!$Q$16="Neaktivní",F106,O106)</f>
        <v>0</v>
      </c>
      <c r="Y106" s="651">
        <f>W106-X106</f>
        <v>0</v>
      </c>
      <c r="Z106" s="661">
        <f>IF(Provozování!$Q$16="Aktivní",Q106,H106)</f>
        <v>0</v>
      </c>
      <c r="AA106" s="44">
        <f>IF(Provozování!$Q$16="Neaktivní",H106,Q106)</f>
        <v>0</v>
      </c>
      <c r="AB106" s="30">
        <f>Z106-AA106</f>
        <v>0</v>
      </c>
      <c r="AC106" s="146"/>
      <c r="AD106" s="146"/>
      <c r="AK106" s="146"/>
      <c r="AL106" s="146"/>
      <c r="AM106" s="146"/>
      <c r="AN106" s="146"/>
    </row>
    <row r="107" spans="2:40" x14ac:dyDescent="0.25">
      <c r="B107" s="12" t="s">
        <v>33</v>
      </c>
      <c r="C107" s="12" t="s">
        <v>382</v>
      </c>
      <c r="D107" s="3" t="s">
        <v>10</v>
      </c>
      <c r="E107" s="44">
        <v>0</v>
      </c>
      <c r="F107" s="640">
        <f>IF(YEAR(Postup!$H$25)&gt;$D$80,Provozování!O36,IF(AND(DAY(Postup!$H$25)=31,MONTH(Postup!$H$25)=12,YEAR(Postup!$H$25)=$D$80),Provozování!O36,IF(YEAR(Postup!$H$25)=$D$80,Provozování!$BL36,0)))</f>
        <v>2.0800000000000003E-2</v>
      </c>
      <c r="G107" s="44">
        <v>0</v>
      </c>
      <c r="H107" s="641">
        <f>IF(YEAR(Postup!$H$25)&gt;$D$80,Provozování!P36,IF(AND(DAY(Postup!$H$25)=31,MONTH(Postup!$H$25)=12,YEAR(Postup!$H$25)=$D$80),Provozování!P36,IF(YEAR(Postup!$H$25)=$D$80,Provozování!$BM36,0)))</f>
        <v>2.6000000000000002E-2</v>
      </c>
      <c r="K107" s="12" t="s">
        <v>33</v>
      </c>
      <c r="L107" s="12" t="s">
        <v>382</v>
      </c>
      <c r="M107" s="3" t="s">
        <v>10</v>
      </c>
      <c r="N107" s="44">
        <v>0</v>
      </c>
      <c r="O107" s="640">
        <f>IF(Provozování!$Q$16="Neaktivní",0,Provozování!Q36)</f>
        <v>0</v>
      </c>
      <c r="P107" s="44">
        <v>0</v>
      </c>
      <c r="Q107" s="772">
        <f>IF(Provozování!$Q$16="Neaktivní",0,Provozování!R36)</f>
        <v>0</v>
      </c>
      <c r="T107" s="12" t="s">
        <v>33</v>
      </c>
      <c r="U107" s="12" t="s">
        <v>382</v>
      </c>
      <c r="V107" s="3" t="s">
        <v>10</v>
      </c>
      <c r="W107" s="775">
        <v>0</v>
      </c>
      <c r="X107" s="651">
        <f>IF(Provozování!$Q$16="Neaktivní",F107,O107)</f>
        <v>2.0800000000000003E-2</v>
      </c>
      <c r="Y107" s="651">
        <f>W107-X107</f>
        <v>-2.0800000000000003E-2</v>
      </c>
      <c r="Z107" s="462">
        <v>0</v>
      </c>
      <c r="AA107" s="44">
        <f>IF(Provozování!$Q$16="Neaktivní",H107,Q107)</f>
        <v>2.6000000000000002E-2</v>
      </c>
      <c r="AB107" s="30">
        <f>Z107-AA107</f>
        <v>-2.6000000000000002E-2</v>
      </c>
      <c r="AC107" s="146"/>
      <c r="AD107" s="146"/>
      <c r="AK107" s="146"/>
      <c r="AL107" s="146"/>
      <c r="AM107" s="146"/>
      <c r="AN107" s="146"/>
    </row>
    <row r="108" spans="2:40" x14ac:dyDescent="0.25">
      <c r="B108" s="12" t="s">
        <v>34</v>
      </c>
      <c r="C108" s="497" t="s">
        <v>384</v>
      </c>
      <c r="D108" s="3" t="s">
        <v>10</v>
      </c>
      <c r="E108" s="44">
        <v>0</v>
      </c>
      <c r="F108" s="662">
        <f>IF(YEAR(Postup!$H$25)&gt;$D$80,Provozování!O37,IF(AND(DAY(Postup!$H$25)=31,MONTH(Postup!$H$25)=12,YEAR(Postup!$H$25)=$D$80),Provozování!O37,IF(YEAR(Postup!$H$25)=$D$80,Provozování!$BL37,0)))</f>
        <v>0.32656000000000002</v>
      </c>
      <c r="G108" s="44">
        <v>0</v>
      </c>
      <c r="H108" s="663">
        <f>IF(YEAR(Postup!$H$25)&gt;$D$80,Provozování!P37,IF(AND(DAY(Postup!$H$25)=31,MONTH(Postup!$H$25)=12,YEAR(Postup!$H$25)=$D$80),Provozování!P37,IF(YEAR(Postup!$H$25)=$D$80,Provozování!$BM37,0)))</f>
        <v>0.91936000000000007</v>
      </c>
      <c r="K108" s="12" t="s">
        <v>34</v>
      </c>
      <c r="L108" s="497" t="s">
        <v>384</v>
      </c>
      <c r="M108" s="3" t="s">
        <v>10</v>
      </c>
      <c r="N108" s="44">
        <v>0</v>
      </c>
      <c r="O108" s="666">
        <f>IF(Provozování!$Q$16="Neaktivní",0,Provozování!Q37)</f>
        <v>0</v>
      </c>
      <c r="P108" s="44">
        <v>0</v>
      </c>
      <c r="Q108" s="667">
        <f>IF(Provozování!$Q$16="Neaktivní",0,Provozování!R37)</f>
        <v>0</v>
      </c>
      <c r="T108" s="12" t="s">
        <v>34</v>
      </c>
      <c r="U108" s="497" t="s">
        <v>384</v>
      </c>
      <c r="V108" s="3" t="s">
        <v>10</v>
      </c>
      <c r="W108" s="637">
        <f>IF(Provozování!$Q$16="Aktivní",O108,F108)</f>
        <v>0.32656000000000002</v>
      </c>
      <c r="X108" s="337">
        <f>IF(Provozování!$Q$16="Neaktivní",F108,O108)</f>
        <v>0.32656000000000002</v>
      </c>
      <c r="Y108" s="337">
        <f>W108-X108</f>
        <v>0</v>
      </c>
      <c r="Z108" s="336">
        <f>IF(Provozování!$Q$16="Aktivní",Q108,H108)</f>
        <v>0.91936000000000007</v>
      </c>
      <c r="AA108" s="337">
        <f>IF(Provozování!$Q$16="Neaktivní",H108,Q108)</f>
        <v>0.91936000000000007</v>
      </c>
      <c r="AB108" s="334">
        <f>Z108-AA108</f>
        <v>0</v>
      </c>
      <c r="AC108" s="146"/>
      <c r="AD108" s="146"/>
      <c r="AE108" s="1073" t="s">
        <v>291</v>
      </c>
      <c r="AF108" s="1074"/>
      <c r="AG108" s="339">
        <f>Y90</f>
        <v>2025</v>
      </c>
      <c r="AH108" s="339">
        <f>AG108</f>
        <v>2025</v>
      </c>
      <c r="AK108" s="146"/>
      <c r="AL108" s="146"/>
      <c r="AM108" s="146"/>
      <c r="AN108" s="146"/>
    </row>
    <row r="109" spans="2:40" x14ac:dyDescent="0.25">
      <c r="B109" s="9" t="s">
        <v>35</v>
      </c>
      <c r="C109" s="10" t="s">
        <v>387</v>
      </c>
      <c r="D109" s="11" t="s">
        <v>10</v>
      </c>
      <c r="E109" s="41">
        <f>SUM(E110:E112)</f>
        <v>0</v>
      </c>
      <c r="F109" s="41">
        <f>SUM(F110:F112)</f>
        <v>0.18373326400000001</v>
      </c>
      <c r="G109" s="41">
        <f>SUM(G110:G112)</f>
        <v>0</v>
      </c>
      <c r="H109" s="86">
        <f>SUM(H110:H112)</f>
        <v>0.34800000000000003</v>
      </c>
      <c r="K109" s="9" t="s">
        <v>35</v>
      </c>
      <c r="L109" s="10" t="s">
        <v>387</v>
      </c>
      <c r="M109" s="11" t="s">
        <v>10</v>
      </c>
      <c r="N109" s="41">
        <f>SUM(N110:N112)</f>
        <v>0</v>
      </c>
      <c r="O109" s="41">
        <f>SUM(O110:O112)</f>
        <v>0</v>
      </c>
      <c r="P109" s="41">
        <f>SUM(P110:P112)</f>
        <v>0</v>
      </c>
      <c r="Q109" s="86">
        <f>SUM(Q110:Q112)</f>
        <v>0</v>
      </c>
      <c r="T109" s="9" t="s">
        <v>35</v>
      </c>
      <c r="U109" s="10" t="s">
        <v>387</v>
      </c>
      <c r="V109" s="11" t="s">
        <v>10</v>
      </c>
      <c r="W109" s="86">
        <f t="shared" ref="W109:AB109" si="14">SUM(W110:W112)</f>
        <v>0</v>
      </c>
      <c r="X109" s="86">
        <f t="shared" si="14"/>
        <v>0.18373326400000001</v>
      </c>
      <c r="Y109" s="86">
        <f t="shared" si="14"/>
        <v>-0.18373326400000001</v>
      </c>
      <c r="Z109" s="86">
        <f t="shared" si="14"/>
        <v>0</v>
      </c>
      <c r="AA109" s="86">
        <f t="shared" si="14"/>
        <v>0.34800000000000003</v>
      </c>
      <c r="AB109" s="86">
        <f t="shared" si="14"/>
        <v>-0.34800000000000003</v>
      </c>
      <c r="AC109" s="146"/>
      <c r="AD109" s="146"/>
      <c r="AE109" s="1075"/>
      <c r="AF109" s="1076"/>
      <c r="AG109" s="1072" t="s">
        <v>238</v>
      </c>
      <c r="AH109" s="1072" t="s">
        <v>239</v>
      </c>
      <c r="AK109" s="146"/>
      <c r="AL109" s="146"/>
      <c r="AM109" s="146"/>
      <c r="AN109" s="146"/>
    </row>
    <row r="110" spans="2:40" x14ac:dyDescent="0.25">
      <c r="B110" s="12" t="s">
        <v>37</v>
      </c>
      <c r="C110" s="13" t="s">
        <v>38</v>
      </c>
      <c r="D110" s="3" t="s">
        <v>10</v>
      </c>
      <c r="E110" s="44">
        <v>0</v>
      </c>
      <c r="F110" s="337">
        <v>0</v>
      </c>
      <c r="G110" s="44">
        <v>0</v>
      </c>
      <c r="H110" s="30">
        <f>IF(YEAR(Postup!$H$25)&gt;$D$80,Provozování!P39,IF(AND(DAY(Postup!$H$25)=31,MONTH(Postup!$H$25)=12,YEAR(Postup!$H$25)=$D$80),Provozování!P39,IF(YEAR(Postup!$H$25)=$D$80,Provozování!$BM39,0)))</f>
        <v>0.01</v>
      </c>
      <c r="K110" s="12" t="s">
        <v>37</v>
      </c>
      <c r="L110" s="13" t="s">
        <v>38</v>
      </c>
      <c r="M110" s="3" t="s">
        <v>10</v>
      </c>
      <c r="N110" s="44">
        <v>0</v>
      </c>
      <c r="O110" s="337">
        <v>0</v>
      </c>
      <c r="P110" s="44">
        <v>0</v>
      </c>
      <c r="Q110" s="53">
        <f>IF(Provozování!$Q$16="Neaktivní",0,Provozování!R39)</f>
        <v>0</v>
      </c>
      <c r="T110" s="12" t="s">
        <v>37</v>
      </c>
      <c r="U110" s="13" t="s">
        <v>38</v>
      </c>
      <c r="V110" s="3" t="s">
        <v>10</v>
      </c>
      <c r="W110" s="337">
        <v>0</v>
      </c>
      <c r="X110" s="337">
        <v>0</v>
      </c>
      <c r="Y110" s="337">
        <v>0</v>
      </c>
      <c r="Z110" s="462">
        <v>0</v>
      </c>
      <c r="AA110" s="44">
        <f>IF(Provozování!$Q$16="Neaktivní",H110,Q110)</f>
        <v>0.01</v>
      </c>
      <c r="AB110" s="30">
        <f>Z110-AA110</f>
        <v>-0.01</v>
      </c>
      <c r="AC110" s="146"/>
      <c r="AD110" s="146"/>
      <c r="AE110" s="1077"/>
      <c r="AF110" s="1078"/>
      <c r="AG110" s="1000"/>
      <c r="AH110" s="1000"/>
      <c r="AK110" s="146"/>
      <c r="AL110" s="146"/>
      <c r="AM110" s="146"/>
      <c r="AN110" s="146"/>
    </row>
    <row r="111" spans="2:40" x14ac:dyDescent="0.25">
      <c r="B111" s="12" t="s">
        <v>39</v>
      </c>
      <c r="C111" s="12" t="s">
        <v>40</v>
      </c>
      <c r="D111" s="3" t="s">
        <v>10</v>
      </c>
      <c r="E111" s="44">
        <v>0</v>
      </c>
      <c r="F111" s="456">
        <f>IF(YEAR(Postup!$H$25)&gt;$D$80,Provozování!O40,IF(AND(DAY(Postup!$H$25)=31,MONTH(Postup!$H$25)=12,YEAR(Postup!$H$25)=$D$80),Provozování!O40,IF(YEAR(Postup!$H$25)=$D$80,Provozování!$BL40,0)))</f>
        <v>5.8933263999999999E-2</v>
      </c>
      <c r="G111" s="44">
        <v>0</v>
      </c>
      <c r="H111" s="457">
        <f>IF(YEAR(Postup!$H$25)&gt;$D$80,Provozování!P40,IF(AND(DAY(Postup!$H$25)=31,MONTH(Postup!$H$25)=12,YEAR(Postup!$H$25)=$D$80),Provozování!P40,IF(YEAR(Postup!$H$25)=$D$80,Provozování!$BM40,0)))</f>
        <v>0.23400000000000001</v>
      </c>
      <c r="K111" s="12" t="s">
        <v>39</v>
      </c>
      <c r="L111" s="12" t="s">
        <v>40</v>
      </c>
      <c r="M111" s="3" t="s">
        <v>10</v>
      </c>
      <c r="N111" s="44">
        <v>0</v>
      </c>
      <c r="O111" s="456">
        <f>IF(Provozování!$Q$16="Neaktivní",0,Provozování!Q40)</f>
        <v>0</v>
      </c>
      <c r="P111" s="44">
        <v>0</v>
      </c>
      <c r="Q111" s="457">
        <f>IF(Provozování!$Q$16="Neaktivní",0,Provozování!R40)</f>
        <v>0</v>
      </c>
      <c r="T111" s="12" t="s">
        <v>39</v>
      </c>
      <c r="U111" s="12" t="s">
        <v>40</v>
      </c>
      <c r="V111" s="3" t="s">
        <v>10</v>
      </c>
      <c r="W111" s="462">
        <v>0</v>
      </c>
      <c r="X111" s="44">
        <f>IF(Provozování!$Q$16="Neaktivní",F111,O111)</f>
        <v>5.8933263999999999E-2</v>
      </c>
      <c r="Y111" s="44">
        <f>W111-X111</f>
        <v>-5.8933263999999999E-2</v>
      </c>
      <c r="Z111" s="462">
        <v>0</v>
      </c>
      <c r="AA111" s="44">
        <f>IF(Provozování!$Q$16="Neaktivní",H111,Q111)</f>
        <v>0.23400000000000001</v>
      </c>
      <c r="AB111" s="30">
        <f>Z111-AA111</f>
        <v>-0.23400000000000001</v>
      </c>
      <c r="AC111" s="146"/>
      <c r="AD111" s="146"/>
      <c r="AE111" s="12" t="s">
        <v>326</v>
      </c>
      <c r="AF111" s="12" t="s">
        <v>329</v>
      </c>
      <c r="AG111" s="423">
        <f>Z146</f>
        <v>25.427997018725701</v>
      </c>
      <c r="AH111" s="423">
        <f>AB146</f>
        <v>51.049096470909085</v>
      </c>
      <c r="AK111" s="146"/>
      <c r="AL111" s="146"/>
      <c r="AM111" s="146"/>
      <c r="AN111" s="146"/>
    </row>
    <row r="112" spans="2:40" x14ac:dyDescent="0.25">
      <c r="B112" s="12" t="s">
        <v>41</v>
      </c>
      <c r="C112" s="13" t="s">
        <v>42</v>
      </c>
      <c r="D112" s="3" t="s">
        <v>10</v>
      </c>
      <c r="E112" s="44">
        <v>0</v>
      </c>
      <c r="F112" s="456">
        <f>IF(YEAR(Postup!$H$25)&gt;$D$80,Provozování!O41,IF(AND(DAY(Postup!$H$25)=31,MONTH(Postup!$H$25)=12,YEAR(Postup!$H$25)=$D$80),Provozování!O41,IF(YEAR(Postup!$H$25)=$D$80,Provozování!$BL41,0)))</f>
        <v>0.12479999999999999</v>
      </c>
      <c r="G112" s="44">
        <v>0</v>
      </c>
      <c r="H112" s="457">
        <f>IF(YEAR(Postup!$H$25)&gt;$D$80,Provozování!P41,IF(AND(DAY(Postup!$H$25)=31,MONTH(Postup!$H$25)=12,YEAR(Postup!$H$25)=$D$80),Provozování!P41,IF(YEAR(Postup!$H$25)=$D$80,Provozování!$BM41,0)))</f>
        <v>0.10400000000000001</v>
      </c>
      <c r="K112" s="12" t="s">
        <v>41</v>
      </c>
      <c r="L112" s="13" t="s">
        <v>42</v>
      </c>
      <c r="M112" s="3" t="s">
        <v>10</v>
      </c>
      <c r="N112" s="44">
        <v>0</v>
      </c>
      <c r="O112" s="456">
        <f>IF(Provozování!$Q$16="Neaktivní",0,Provozování!Q41)</f>
        <v>0</v>
      </c>
      <c r="P112" s="44">
        <v>0</v>
      </c>
      <c r="Q112" s="457">
        <f>IF(Provozování!$Q$16="Neaktivní",0,Provozování!R41)</f>
        <v>0</v>
      </c>
      <c r="T112" s="12" t="s">
        <v>41</v>
      </c>
      <c r="U112" s="13" t="s">
        <v>42</v>
      </c>
      <c r="V112" s="3" t="s">
        <v>10</v>
      </c>
      <c r="W112" s="462">
        <v>0</v>
      </c>
      <c r="X112" s="44">
        <f>IF(Provozování!$Q$16="Neaktivní",F112,O112)</f>
        <v>0.12479999999999999</v>
      </c>
      <c r="Y112" s="44">
        <f>W112-X112</f>
        <v>-0.12479999999999999</v>
      </c>
      <c r="Z112" s="462">
        <v>0</v>
      </c>
      <c r="AA112" s="44">
        <f>IF(Provozování!$Q$16="Neaktivní",H112,Q112)</f>
        <v>0.10400000000000001</v>
      </c>
      <c r="AB112" s="30">
        <f>Z112-AA112</f>
        <v>-0.10400000000000001</v>
      </c>
      <c r="AC112" s="146"/>
      <c r="AD112" s="146"/>
      <c r="AE112" s="12" t="s">
        <v>327</v>
      </c>
      <c r="AF112" s="13" t="s">
        <v>331</v>
      </c>
      <c r="AG112" s="270">
        <f>Y145</f>
        <v>0</v>
      </c>
      <c r="AH112" s="270">
        <f>AA145</f>
        <v>0</v>
      </c>
      <c r="AK112" s="146"/>
      <c r="AL112" s="146"/>
      <c r="AM112" s="146"/>
      <c r="AN112" s="146"/>
    </row>
    <row r="113" spans="2:40" x14ac:dyDescent="0.25">
      <c r="B113" s="9" t="s">
        <v>43</v>
      </c>
      <c r="C113" s="10" t="s">
        <v>44</v>
      </c>
      <c r="D113" s="11" t="s">
        <v>10</v>
      </c>
      <c r="E113" s="44">
        <v>0</v>
      </c>
      <c r="F113" s="456">
        <f>IF(YEAR(Postup!$H$25)&gt;$D$80,Provozování!O42,IF(AND(DAY(Postup!$H$25)=31,MONTH(Postup!$H$25)=12,YEAR(Postup!$H$25)=$D$80),Provozování!O42,IF(YEAR(Postup!$H$25)=$D$80,Provozování!$BL42,0)))</f>
        <v>0</v>
      </c>
      <c r="G113" s="44">
        <v>0</v>
      </c>
      <c r="H113" s="457">
        <f>IF(YEAR(Postup!$H$25)&gt;$D$80,Provozování!P42,IF(AND(DAY(Postup!$H$25)=31,MONTH(Postup!$H$25)=12,YEAR(Postup!$H$25)=$D$80),Provozování!P42,IF(YEAR(Postup!$H$25)=$D$80,Provozování!$BM42,0)))</f>
        <v>0</v>
      </c>
      <c r="K113" s="9" t="s">
        <v>43</v>
      </c>
      <c r="L113" s="10" t="s">
        <v>44</v>
      </c>
      <c r="M113" s="11" t="s">
        <v>10</v>
      </c>
      <c r="N113" s="44">
        <v>0</v>
      </c>
      <c r="O113" s="456">
        <f>IF(Provozování!$Q$16="Neaktivní",0,Provozování!Q42)</f>
        <v>0</v>
      </c>
      <c r="P113" s="44">
        <v>0</v>
      </c>
      <c r="Q113" s="461">
        <f>IF(Provozování!$Q$16="Neaktivní",0,Provozování!R42)</f>
        <v>0</v>
      </c>
      <c r="T113" s="9" t="s">
        <v>43</v>
      </c>
      <c r="U113" s="10" t="s">
        <v>44</v>
      </c>
      <c r="V113" s="11" t="s">
        <v>10</v>
      </c>
      <c r="W113" s="462">
        <v>0</v>
      </c>
      <c r="X113" s="44">
        <f>IF(Provozování!$Q$16="Neaktivní",F113,O113)</f>
        <v>0</v>
      </c>
      <c r="Y113" s="44">
        <f>W113-X113</f>
        <v>0</v>
      </c>
      <c r="Z113" s="462">
        <v>0</v>
      </c>
      <c r="AA113" s="44">
        <f>IF(Provozování!$Q$16="Neaktivní",H113,Q113)</f>
        <v>0</v>
      </c>
      <c r="AB113" s="30">
        <f>Z113-AA113</f>
        <v>0</v>
      </c>
      <c r="AC113" s="146"/>
      <c r="AD113" s="146"/>
      <c r="AE113" s="12" t="s">
        <v>328</v>
      </c>
      <c r="AF113" s="13" t="s">
        <v>330</v>
      </c>
      <c r="AG113" s="270">
        <f>Z145</f>
        <v>3.3333330000000001E-2</v>
      </c>
      <c r="AH113" s="270">
        <f>AB145</f>
        <v>4.3999999999999997E-2</v>
      </c>
      <c r="AK113" s="146"/>
      <c r="AL113" s="146"/>
      <c r="AM113" s="146"/>
      <c r="AN113" s="146"/>
    </row>
    <row r="114" spans="2:40" x14ac:dyDescent="0.25">
      <c r="B114" s="9" t="s">
        <v>45</v>
      </c>
      <c r="C114" s="10" t="s">
        <v>388</v>
      </c>
      <c r="D114" s="11" t="s">
        <v>10</v>
      </c>
      <c r="E114" s="44">
        <v>0</v>
      </c>
      <c r="F114" s="456">
        <f>IF(YEAR(Postup!$H$25)&gt;$D$80,Provozování!O43,IF(AND(DAY(Postup!$H$25)=31,MONTH(Postup!$H$25)=12,YEAR(Postup!$H$25)=$D$80),Provozování!O43,IF(YEAR(Postup!$H$25)=$D$80,Provozování!$BL43,0)))</f>
        <v>0</v>
      </c>
      <c r="G114" s="44">
        <v>0</v>
      </c>
      <c r="H114" s="457">
        <f>IF(YEAR(Postup!$H$25)&gt;$D$80,Provozování!P43,IF(AND(DAY(Postup!$H$25)=31,MONTH(Postup!$H$25)=12,YEAR(Postup!$H$25)=$D$80),Provozování!P43,IF(YEAR(Postup!$H$25)=$D$80,Provozování!$BM43,0)))</f>
        <v>0</v>
      </c>
      <c r="K114" s="9" t="s">
        <v>45</v>
      </c>
      <c r="L114" s="10" t="s">
        <v>388</v>
      </c>
      <c r="M114" s="11" t="s">
        <v>10</v>
      </c>
      <c r="N114" s="44">
        <v>0</v>
      </c>
      <c r="O114" s="456">
        <f>IF(Provozování!$Q$16="Neaktivní",0,Provozování!Q43)</f>
        <v>0</v>
      </c>
      <c r="P114" s="44">
        <v>0</v>
      </c>
      <c r="Q114" s="461">
        <f>IF(Provozování!$Q$16="Neaktivní",0,Provozování!R43)</f>
        <v>0</v>
      </c>
      <c r="T114" s="9" t="s">
        <v>45</v>
      </c>
      <c r="U114" s="10" t="s">
        <v>388</v>
      </c>
      <c r="V114" s="11" t="s">
        <v>10</v>
      </c>
      <c r="W114" s="462">
        <v>0</v>
      </c>
      <c r="X114" s="44">
        <f>IF(Provozování!$Q$16="Neaktivní",F114,O114)</f>
        <v>0</v>
      </c>
      <c r="Y114" s="44">
        <f>ABS(W114)-ABS(X114)</f>
        <v>0</v>
      </c>
      <c r="Z114" s="462">
        <v>0</v>
      </c>
      <c r="AA114" s="44">
        <f>IF(Provozování!$Q$16="Neaktivní",H114,Q114)</f>
        <v>0</v>
      </c>
      <c r="AB114" s="30">
        <f>ABS(Z114)-ABS(AA114)</f>
        <v>0</v>
      </c>
      <c r="AC114" s="146"/>
      <c r="AD114" s="146"/>
      <c r="AE114" s="12" t="s">
        <v>332</v>
      </c>
      <c r="AF114" s="12" t="s">
        <v>340</v>
      </c>
      <c r="AG114" s="270">
        <f>X118-(X106+X108)</f>
        <v>0.49703991922319996</v>
      </c>
      <c r="AH114" s="270">
        <f>AA118-(AA106+AA108)</f>
        <v>1.2267999667199994</v>
      </c>
      <c r="AK114" s="146"/>
      <c r="AL114" s="146"/>
      <c r="AM114" s="146"/>
      <c r="AN114" s="146"/>
    </row>
    <row r="115" spans="2:40" x14ac:dyDescent="0.25">
      <c r="B115" s="9" t="s">
        <v>46</v>
      </c>
      <c r="C115" s="10" t="s">
        <v>47</v>
      </c>
      <c r="D115" s="11" t="s">
        <v>10</v>
      </c>
      <c r="E115" s="44">
        <v>0</v>
      </c>
      <c r="F115" s="456">
        <f>IF(YEAR(Postup!$H$25)&gt;$D$80,Provozování!O44,IF(AND(DAY(Postup!$H$25)=31,MONTH(Postup!$H$25)=12,YEAR(Postup!$H$25)=$D$80),Provozování!O44,IF(YEAR(Postup!$H$25)=$D$80,Provozování!$BL44,0)))</f>
        <v>6.9680000000000006E-2</v>
      </c>
      <c r="G115" s="44">
        <v>0</v>
      </c>
      <c r="H115" s="457">
        <f>IF(YEAR(Postup!$H$25)&gt;$D$80,Provozování!P44,IF(AND(DAY(Postup!$H$25)=31,MONTH(Postup!$H$25)=12,YEAR(Postup!$H$25)=$D$80),Provozování!P44,IF(YEAR(Postup!$H$25)=$D$80,Provozování!$BM44,0)))</f>
        <v>6.2399999999999997E-2</v>
      </c>
      <c r="K115" s="9" t="s">
        <v>46</v>
      </c>
      <c r="L115" s="10" t="s">
        <v>47</v>
      </c>
      <c r="M115" s="11" t="s">
        <v>10</v>
      </c>
      <c r="N115" s="44">
        <v>0</v>
      </c>
      <c r="O115" s="456">
        <f>IF(Provozování!$Q$16="Neaktivní",0,Provozování!Q44)</f>
        <v>0</v>
      </c>
      <c r="P115" s="44">
        <v>0</v>
      </c>
      <c r="Q115" s="457">
        <f>IF(Provozování!$Q$16="Neaktivní",0,Provozování!R44)</f>
        <v>0</v>
      </c>
      <c r="T115" s="9" t="s">
        <v>46</v>
      </c>
      <c r="U115" s="10" t="s">
        <v>47</v>
      </c>
      <c r="V115" s="11" t="s">
        <v>10</v>
      </c>
      <c r="W115" s="462">
        <v>0</v>
      </c>
      <c r="X115" s="44">
        <f>IF(Provozování!$Q$16="Neaktivní",F115,O115)</f>
        <v>6.9680000000000006E-2</v>
      </c>
      <c r="Y115" s="44">
        <f>W115-X115</f>
        <v>-6.9680000000000006E-2</v>
      </c>
      <c r="Z115" s="462">
        <v>0</v>
      </c>
      <c r="AA115" s="44">
        <f>IF(Provozování!$Q$16="Neaktivní",H115,Q115)</f>
        <v>6.2399999999999997E-2</v>
      </c>
      <c r="AB115" s="30">
        <f>Z115-AA115</f>
        <v>-6.2399999999999997E-2</v>
      </c>
      <c r="AC115" s="146"/>
      <c r="AD115" s="146"/>
      <c r="AE115" s="12" t="s">
        <v>333</v>
      </c>
      <c r="AF115" s="12" t="s">
        <v>339</v>
      </c>
      <c r="AG115" s="270">
        <f>W118-(W106+W108)</f>
        <v>0</v>
      </c>
      <c r="AH115" s="270">
        <f>Z118-(Z106+Z108)</f>
        <v>0</v>
      </c>
      <c r="AK115" s="146"/>
      <c r="AL115" s="146"/>
      <c r="AM115" s="146"/>
      <c r="AN115" s="146"/>
    </row>
    <row r="116" spans="2:40" x14ac:dyDescent="0.25">
      <c r="B116" s="9" t="s">
        <v>48</v>
      </c>
      <c r="C116" s="10" t="s">
        <v>49</v>
      </c>
      <c r="D116" s="11" t="s">
        <v>10</v>
      </c>
      <c r="E116" s="44">
        <v>0</v>
      </c>
      <c r="F116" s="456">
        <f>IF(YEAR(Postup!$H$25)&gt;$D$80,Provozování!O45,IF(AND(DAY(Postup!$H$25)=31,MONTH(Postup!$H$25)=12,YEAR(Postup!$H$25)=$D$80),Provozování!O45,IF(YEAR(Postup!$H$25)=$D$80,Provozování!$BL45,0)))</f>
        <v>5.6160000000000002E-2</v>
      </c>
      <c r="G116" s="44">
        <v>0</v>
      </c>
      <c r="H116" s="457">
        <f>IF(YEAR(Postup!$H$25)&gt;$D$80,Provozování!P45,IF(AND(DAY(Postup!$H$25)=31,MONTH(Postup!$H$25)=12,YEAR(Postup!$H$25)=$D$80),Provozování!P45,IF(YEAR(Postup!$H$25)=$D$80,Provozování!$BM45,0)))</f>
        <v>5.2000000000000005E-2</v>
      </c>
      <c r="K116" s="9" t="s">
        <v>48</v>
      </c>
      <c r="L116" s="10" t="s">
        <v>49</v>
      </c>
      <c r="M116" s="11" t="s">
        <v>10</v>
      </c>
      <c r="N116" s="44">
        <v>0</v>
      </c>
      <c r="O116" s="456">
        <f>IF(Provozování!$Q$16="Neaktivní",0,Provozování!Q45)</f>
        <v>0</v>
      </c>
      <c r="P116" s="44">
        <v>0</v>
      </c>
      <c r="Q116" s="457">
        <f>IF(Provozování!$Q$16="Neaktivní",0,Provozování!R45)</f>
        <v>0</v>
      </c>
      <c r="T116" s="9" t="s">
        <v>48</v>
      </c>
      <c r="U116" s="10" t="s">
        <v>49</v>
      </c>
      <c r="V116" s="11" t="s">
        <v>10</v>
      </c>
      <c r="W116" s="462">
        <v>0</v>
      </c>
      <c r="X116" s="44">
        <f>IF(Provozování!$Q$16="Neaktivní",F116,O116)</f>
        <v>5.6160000000000002E-2</v>
      </c>
      <c r="Y116" s="44">
        <f>W116-X116</f>
        <v>-5.6160000000000002E-2</v>
      </c>
      <c r="Z116" s="462">
        <v>0</v>
      </c>
      <c r="AA116" s="44">
        <f>IF(Provozování!$Q$16="Neaktivní",H116,Q116)</f>
        <v>5.2000000000000005E-2</v>
      </c>
      <c r="AB116" s="30">
        <f>Z116-AA116</f>
        <v>-5.2000000000000005E-2</v>
      </c>
      <c r="AC116" s="146"/>
      <c r="AD116" s="146"/>
      <c r="AE116" s="12" t="s">
        <v>345</v>
      </c>
      <c r="AF116" s="12" t="s">
        <v>346</v>
      </c>
      <c r="AG116" s="270">
        <f>Provozování!O$102</f>
        <v>0</v>
      </c>
      <c r="AH116" s="270">
        <f>Provozování!P$102</f>
        <v>0</v>
      </c>
      <c r="AK116" s="146"/>
      <c r="AL116" s="146"/>
      <c r="AM116" s="146"/>
      <c r="AN116" s="146"/>
    </row>
    <row r="117" spans="2:40" x14ac:dyDescent="0.25">
      <c r="B117" s="12" t="s">
        <v>386</v>
      </c>
      <c r="C117" s="12" t="s">
        <v>385</v>
      </c>
      <c r="D117" s="3" t="s">
        <v>10</v>
      </c>
      <c r="E117" s="44"/>
      <c r="F117" s="456">
        <f>Provozování!O46</f>
        <v>0.02</v>
      </c>
      <c r="G117" s="44"/>
      <c r="H117" s="457">
        <f>Provozování!P46</f>
        <v>0.02</v>
      </c>
      <c r="K117" s="12" t="s">
        <v>386</v>
      </c>
      <c r="L117" s="12" t="s">
        <v>385</v>
      </c>
      <c r="M117" s="3" t="s">
        <v>10</v>
      </c>
      <c r="N117" s="44"/>
      <c r="O117" s="456">
        <f>IF(Provozování!$Q$16="Neaktivní",0,Provozování!Q46)</f>
        <v>0</v>
      </c>
      <c r="P117" s="44"/>
      <c r="Q117" s="457">
        <f>IF(Provozování!$Q$16="Neaktivní",0,Provozování!R46)</f>
        <v>0</v>
      </c>
      <c r="T117" s="12" t="s">
        <v>386</v>
      </c>
      <c r="U117" s="12" t="s">
        <v>385</v>
      </c>
      <c r="V117" s="3" t="s">
        <v>10</v>
      </c>
      <c r="W117" s="462">
        <v>0</v>
      </c>
      <c r="X117" s="44"/>
      <c r="Y117" s="44"/>
      <c r="Z117" s="462">
        <v>0</v>
      </c>
      <c r="AA117" s="44"/>
      <c r="AB117" s="30"/>
      <c r="AC117" s="146"/>
      <c r="AD117" s="146"/>
      <c r="AE117" s="435" t="s">
        <v>349</v>
      </c>
      <c r="AF117" s="436"/>
      <c r="AG117" s="1066">
        <f>(AG111*AG112-AG111*AG113)+(AG114-AG115)-AG116</f>
        <v>-0.35055989664100001</v>
      </c>
      <c r="AH117" s="1066">
        <f>(AH111*AH112-AH111*AH113)+(AH114-AH115)-AH116</f>
        <v>-1.0193602780000002</v>
      </c>
      <c r="AK117" s="146"/>
      <c r="AL117" s="146"/>
      <c r="AM117" s="146"/>
      <c r="AN117" s="146"/>
    </row>
    <row r="118" spans="2:40" x14ac:dyDescent="0.25">
      <c r="B118" s="9" t="s">
        <v>50</v>
      </c>
      <c r="C118" s="10" t="s">
        <v>391</v>
      </c>
      <c r="D118" s="11" t="s">
        <v>10</v>
      </c>
      <c r="E118" s="41">
        <f>E93+E98+E101+E104+E109+E113+E114+E115+E116</f>
        <v>0</v>
      </c>
      <c r="F118" s="41">
        <f>F93+F98+F101+F104+F109+F113+F114+F115+F116</f>
        <v>0.82359991922319997</v>
      </c>
      <c r="G118" s="41">
        <f>G93+G98+G101+G104+G109+G113+G114+G115+G116</f>
        <v>0</v>
      </c>
      <c r="H118" s="86">
        <f>H93+H98+H101+H104+H109+H113+H114+H115+H116</f>
        <v>2.1461599667199995</v>
      </c>
      <c r="K118" s="9" t="s">
        <v>50</v>
      </c>
      <c r="L118" s="10" t="s">
        <v>391</v>
      </c>
      <c r="M118" s="11" t="s">
        <v>10</v>
      </c>
      <c r="N118" s="41">
        <f>N93+N98+N101+N104+N109+N113+N114+N115+N116</f>
        <v>0</v>
      </c>
      <c r="O118" s="41">
        <f>O93+O98+O101+O104+O109+O113+O114+O115+O116</f>
        <v>0</v>
      </c>
      <c r="P118" s="41">
        <f>P93+P98+P101+P104+P109+P113+P114+P115+P116</f>
        <v>0</v>
      </c>
      <c r="Q118" s="86">
        <f>Q93+Q98+Q101+Q104+Q109+Q113+Q114+Q115+Q116</f>
        <v>0</v>
      </c>
      <c r="T118" s="9" t="s">
        <v>50</v>
      </c>
      <c r="U118" s="10" t="s">
        <v>391</v>
      </c>
      <c r="V118" s="11" t="s">
        <v>10</v>
      </c>
      <c r="W118" s="41">
        <f t="shared" ref="W118:AB118" si="15">W93+W98+W101+W104+W109+W113+W114+W115+W116</f>
        <v>0.32656000000000002</v>
      </c>
      <c r="X118" s="41">
        <f t="shared" si="15"/>
        <v>0.82359991922319997</v>
      </c>
      <c r="Y118" s="41">
        <f t="shared" si="15"/>
        <v>-0.49703991922320007</v>
      </c>
      <c r="Z118" s="41">
        <f t="shared" si="15"/>
        <v>0.91936000000000007</v>
      </c>
      <c r="AA118" s="41">
        <f t="shared" si="15"/>
        <v>2.1461599667199995</v>
      </c>
      <c r="AB118" s="86">
        <f t="shared" si="15"/>
        <v>-1.22679996672</v>
      </c>
      <c r="AC118" s="146"/>
      <c r="AD118" s="146"/>
      <c r="AE118" s="425" t="s">
        <v>347</v>
      </c>
      <c r="AF118" s="424"/>
      <c r="AG118" s="1067"/>
      <c r="AH118" s="1067"/>
      <c r="AK118" s="146"/>
      <c r="AL118" s="146"/>
      <c r="AM118" s="146"/>
      <c r="AN118" s="146"/>
    </row>
    <row r="119" spans="2:40" hidden="1" x14ac:dyDescent="0.25">
      <c r="B119" s="12" t="s">
        <v>389</v>
      </c>
      <c r="C119" s="13" t="s">
        <v>96</v>
      </c>
      <c r="D119" s="3" t="s">
        <v>10</v>
      </c>
      <c r="E119" s="329">
        <v>0</v>
      </c>
      <c r="F119" s="458">
        <f>F43</f>
        <v>0</v>
      </c>
      <c r="G119" s="329">
        <v>0</v>
      </c>
      <c r="H119" s="460">
        <f>H43</f>
        <v>0</v>
      </c>
      <c r="K119" s="12" t="s">
        <v>389</v>
      </c>
      <c r="L119" s="13" t="s">
        <v>96</v>
      </c>
      <c r="M119" s="3" t="s">
        <v>10</v>
      </c>
      <c r="N119" s="329">
        <v>0</v>
      </c>
      <c r="O119" s="329">
        <f>IF(Provozování!$Q$16="Neaktivní",0,F119)</f>
        <v>0</v>
      </c>
      <c r="P119" s="329">
        <v>0</v>
      </c>
      <c r="Q119" s="330">
        <f>IF(Provozování!$Q$16="Neaktivní",0,H119)</f>
        <v>0</v>
      </c>
      <c r="T119" s="42" t="s">
        <v>389</v>
      </c>
      <c r="U119" s="13" t="s">
        <v>96</v>
      </c>
      <c r="V119" s="3" t="s">
        <v>10</v>
      </c>
      <c r="W119" s="458">
        <v>0</v>
      </c>
      <c r="X119" s="329">
        <f>F119</f>
        <v>0</v>
      </c>
      <c r="Y119" s="329">
        <f>W119-X119</f>
        <v>0</v>
      </c>
      <c r="Z119" s="458">
        <v>0</v>
      </c>
      <c r="AA119" s="329">
        <f>H119</f>
        <v>0</v>
      </c>
      <c r="AB119" s="330">
        <f>Z119-AA119</f>
        <v>0</v>
      </c>
      <c r="AC119" s="146"/>
      <c r="AD119" s="146"/>
      <c r="AK119" s="146"/>
      <c r="AL119" s="146"/>
      <c r="AM119" s="146"/>
      <c r="AN119" s="146"/>
    </row>
    <row r="120" spans="2:40" hidden="1" x14ac:dyDescent="0.25">
      <c r="B120" s="12" t="s">
        <v>389</v>
      </c>
      <c r="C120" s="13" t="s">
        <v>97</v>
      </c>
      <c r="D120" s="3" t="s">
        <v>10</v>
      </c>
      <c r="E120" s="329">
        <v>0</v>
      </c>
      <c r="F120" s="458">
        <f>F44</f>
        <v>0</v>
      </c>
      <c r="G120" s="329">
        <v>0</v>
      </c>
      <c r="H120" s="460">
        <f>H44</f>
        <v>0</v>
      </c>
      <c r="K120" s="12" t="s">
        <v>389</v>
      </c>
      <c r="L120" s="13" t="s">
        <v>97</v>
      </c>
      <c r="M120" s="3" t="s">
        <v>10</v>
      </c>
      <c r="N120" s="329">
        <v>0</v>
      </c>
      <c r="O120" s="329">
        <f>IF(Provozování!$Q$16="Neaktivní",0,F120)</f>
        <v>0</v>
      </c>
      <c r="P120" s="329">
        <v>0</v>
      </c>
      <c r="Q120" s="330">
        <f>IF(Provozování!$Q$16="Neaktivní",0,H120)</f>
        <v>0</v>
      </c>
      <c r="T120" s="12" t="s">
        <v>389</v>
      </c>
      <c r="U120" s="13" t="s">
        <v>97</v>
      </c>
      <c r="V120" s="3" t="s">
        <v>10</v>
      </c>
      <c r="W120" s="458">
        <v>0</v>
      </c>
      <c r="X120" s="329">
        <f>F120</f>
        <v>0</v>
      </c>
      <c r="Y120" s="329">
        <f>W120-X120</f>
        <v>0</v>
      </c>
      <c r="Z120" s="458">
        <v>0</v>
      </c>
      <c r="AA120" s="329">
        <f>H120</f>
        <v>0</v>
      </c>
      <c r="AB120" s="330">
        <f>Z120-AA120</f>
        <v>0</v>
      </c>
      <c r="AC120" s="146"/>
      <c r="AD120" s="146"/>
      <c r="AK120" s="146"/>
      <c r="AL120" s="146"/>
      <c r="AM120" s="146"/>
      <c r="AN120" s="146"/>
    </row>
    <row r="121" spans="2:40" x14ac:dyDescent="0.25">
      <c r="B121" s="12" t="s">
        <v>51</v>
      </c>
      <c r="C121" s="13" t="s">
        <v>54</v>
      </c>
      <c r="D121" s="3" t="s">
        <v>55</v>
      </c>
      <c r="E121" s="331">
        <v>0</v>
      </c>
      <c r="F121" s="459">
        <f>F45</f>
        <v>0</v>
      </c>
      <c r="G121" s="331">
        <v>0</v>
      </c>
      <c r="H121" s="459">
        <f>H45</f>
        <v>0</v>
      </c>
      <c r="K121" s="12" t="s">
        <v>51</v>
      </c>
      <c r="L121" s="13" t="s">
        <v>54</v>
      </c>
      <c r="M121" s="3" t="s">
        <v>55</v>
      </c>
      <c r="N121" s="331">
        <v>0</v>
      </c>
      <c r="O121" s="329">
        <f>IF(Provozování!$Q$16="Neaktivní",0,F121)</f>
        <v>0</v>
      </c>
      <c r="P121" s="331">
        <v>0</v>
      </c>
      <c r="Q121" s="330">
        <f>IF(Provozování!$Q$16="Neaktivní",0,H121)</f>
        <v>0</v>
      </c>
      <c r="T121" s="12" t="s">
        <v>51</v>
      </c>
      <c r="U121" s="13" t="s">
        <v>54</v>
      </c>
      <c r="V121" s="3" t="s">
        <v>55</v>
      </c>
      <c r="W121" s="466">
        <v>0</v>
      </c>
      <c r="X121" s="331">
        <f>F121</f>
        <v>0</v>
      </c>
      <c r="Y121" s="332">
        <f>W121-X121</f>
        <v>0</v>
      </c>
      <c r="Z121" s="466">
        <v>0</v>
      </c>
      <c r="AA121" s="331">
        <f>H121</f>
        <v>0</v>
      </c>
      <c r="AB121" s="332">
        <f>Z121-AA121</f>
        <v>0</v>
      </c>
      <c r="AC121" s="146"/>
      <c r="AD121" s="146"/>
      <c r="AE121" s="1068" t="s">
        <v>337</v>
      </c>
      <c r="AF121" s="1069"/>
      <c r="AG121" s="1072" t="str">
        <f>IF(AG117&gt;0,"úspora",IF(AG117&lt;0,"ztráta provozovatele","-"))</f>
        <v>ztráta provozovatele</v>
      </c>
      <c r="AH121" s="1072" t="str">
        <f>IF(AH117&gt;0,"úspora",IF(AH117&lt;0,"ztráta provozovatele","-"))</f>
        <v>ztráta provozovatele</v>
      </c>
      <c r="AK121" s="146"/>
      <c r="AL121" s="146"/>
      <c r="AM121" s="146"/>
      <c r="AN121" s="146"/>
    </row>
    <row r="122" spans="2:40" x14ac:dyDescent="0.25">
      <c r="B122" s="12" t="s">
        <v>52</v>
      </c>
      <c r="C122" s="13" t="s">
        <v>57</v>
      </c>
      <c r="D122" s="3" t="s">
        <v>58</v>
      </c>
      <c r="E122" s="44">
        <v>0</v>
      </c>
      <c r="F122" s="44">
        <f>IF(YEAR(Postup!$H$25)&gt;$D$80,Provozování!O49,IF(AND(DAY(Postup!$H$25)=31,MONTH(Postup!$H$25)=12,YEAR(Postup!$H$25)=$D$80),Provozování!O49,IF(YEAR(Postup!$H$25)=$D$80,Provozování!$BL49,0)))</f>
        <v>3.3333330000000001E-2</v>
      </c>
      <c r="G122" s="44">
        <v>0</v>
      </c>
      <c r="H122" s="334">
        <v>0</v>
      </c>
      <c r="K122" s="12" t="s">
        <v>52</v>
      </c>
      <c r="L122" s="13" t="s">
        <v>57</v>
      </c>
      <c r="M122" s="3" t="s">
        <v>58</v>
      </c>
      <c r="N122" s="44">
        <v>0</v>
      </c>
      <c r="O122" s="44">
        <f>IF(Provozování!$Q$16="Neaktivní",0,Provozování!Q49)</f>
        <v>0</v>
      </c>
      <c r="P122" s="44">
        <v>0</v>
      </c>
      <c r="Q122" s="334">
        <v>0</v>
      </c>
      <c r="T122" s="12" t="s">
        <v>52</v>
      </c>
      <c r="U122" s="13" t="s">
        <v>57</v>
      </c>
      <c r="V122" s="3" t="s">
        <v>58</v>
      </c>
      <c r="W122" s="462">
        <v>0</v>
      </c>
      <c r="X122" s="44">
        <f>IF(Provozování!$Q$16="Neaktivní",F122,O122)</f>
        <v>3.3333330000000001E-2</v>
      </c>
      <c r="Y122" s="44">
        <f>W122-X122</f>
        <v>-3.3333330000000001E-2</v>
      </c>
      <c r="Z122" s="337">
        <v>0</v>
      </c>
      <c r="AA122" s="337">
        <v>0</v>
      </c>
      <c r="AB122" s="334">
        <v>0</v>
      </c>
      <c r="AC122" s="146"/>
      <c r="AD122" s="146"/>
      <c r="AE122" s="1070"/>
      <c r="AF122" s="1071"/>
      <c r="AG122" s="1000"/>
      <c r="AH122" s="1000"/>
      <c r="AK122" s="146"/>
      <c r="AL122" s="146"/>
      <c r="AM122" s="146"/>
      <c r="AN122" s="146"/>
    </row>
    <row r="123" spans="2:40" x14ac:dyDescent="0.25">
      <c r="B123" s="12" t="s">
        <v>53</v>
      </c>
      <c r="C123" s="13" t="s">
        <v>60</v>
      </c>
      <c r="D123" s="3" t="s">
        <v>58</v>
      </c>
      <c r="E123" s="44">
        <v>0</v>
      </c>
      <c r="F123" s="44">
        <f>IF(YEAR(Postup!$H$25)&gt;$D$80,Provozování!O50,IF(AND(DAY(Postup!$H$25)=31,MONTH(Postup!$H$25)=12,YEAR(Postup!$H$25)=$D$80),Provozování!O50,IF(YEAR(Postup!$H$25)=$D$80,Provozování!$BL50,0)))</f>
        <v>2.9333330000000001E-2</v>
      </c>
      <c r="G123" s="44">
        <v>0</v>
      </c>
      <c r="H123" s="334">
        <v>0</v>
      </c>
      <c r="K123" s="12" t="s">
        <v>53</v>
      </c>
      <c r="L123" s="13" t="s">
        <v>60</v>
      </c>
      <c r="M123" s="3" t="s">
        <v>58</v>
      </c>
      <c r="N123" s="44">
        <v>0</v>
      </c>
      <c r="O123" s="44">
        <f>IF(Provozování!$Q$16="Neaktivní",0,Provozování!Q50)</f>
        <v>0</v>
      </c>
      <c r="P123" s="44">
        <v>0</v>
      </c>
      <c r="Q123" s="334">
        <v>0</v>
      </c>
      <c r="T123" s="12" t="s">
        <v>53</v>
      </c>
      <c r="U123" s="13" t="s">
        <v>60</v>
      </c>
      <c r="V123" s="3" t="s">
        <v>58</v>
      </c>
      <c r="W123" s="462">
        <v>0</v>
      </c>
      <c r="X123" s="44">
        <f>IF(Provozování!$Q$16="Neaktivní",F123,O123)</f>
        <v>2.9333330000000001E-2</v>
      </c>
      <c r="Y123" s="44">
        <f>W123-X123</f>
        <v>-2.9333330000000001E-2</v>
      </c>
      <c r="Z123" s="337">
        <v>0</v>
      </c>
      <c r="AA123" s="337">
        <v>0</v>
      </c>
      <c r="AB123" s="334">
        <v>0</v>
      </c>
      <c r="AC123" s="146"/>
      <c r="AD123" s="146"/>
      <c r="AE123" s="414" t="s">
        <v>343</v>
      </c>
      <c r="AF123" s="414"/>
      <c r="AG123" s="344">
        <f>IF(AG117&gt;0,AG117/AG114,0)</f>
        <v>0</v>
      </c>
      <c r="AH123" s="344">
        <f>IF(AH117&gt;0,AH117/AH114,0)</f>
        <v>0</v>
      </c>
      <c r="AK123" s="146"/>
      <c r="AL123" s="146"/>
      <c r="AM123" s="146"/>
      <c r="AN123" s="146"/>
    </row>
    <row r="124" spans="2:40" x14ac:dyDescent="0.25">
      <c r="B124" s="12" t="s">
        <v>56</v>
      </c>
      <c r="C124" s="13" t="s">
        <v>62</v>
      </c>
      <c r="D124" s="3" t="s">
        <v>58</v>
      </c>
      <c r="E124" s="44">
        <v>0</v>
      </c>
      <c r="F124" s="337">
        <v>0</v>
      </c>
      <c r="G124" s="44">
        <v>0</v>
      </c>
      <c r="H124" s="30">
        <f>IF(YEAR(Postup!$H$25)&gt;$D$80,Provozování!P51,IF(AND(DAY(Postup!$H$25)=31,MONTH(Postup!$H$25)=12,YEAR(Postup!$H$25)=$D$80),Provozování!P51,IF(YEAR(Postup!$H$25)=$D$80,Provozování!$BM51,0)))</f>
        <v>3.5999999999999997E-2</v>
      </c>
      <c r="K124" s="12" t="s">
        <v>56</v>
      </c>
      <c r="L124" s="13" t="s">
        <v>62</v>
      </c>
      <c r="M124" s="3" t="s">
        <v>58</v>
      </c>
      <c r="N124" s="44">
        <v>0</v>
      </c>
      <c r="O124" s="337">
        <v>0</v>
      </c>
      <c r="P124" s="44">
        <v>0</v>
      </c>
      <c r="Q124" s="53">
        <f>IF(Provozování!$Q$16="Neaktivní",0,Provozování!R51)</f>
        <v>0</v>
      </c>
      <c r="T124" s="12" t="s">
        <v>56</v>
      </c>
      <c r="U124" s="13" t="s">
        <v>62</v>
      </c>
      <c r="V124" s="3" t="s">
        <v>58</v>
      </c>
      <c r="W124" s="337">
        <v>0</v>
      </c>
      <c r="X124" s="337">
        <v>0</v>
      </c>
      <c r="Y124" s="337">
        <v>0</v>
      </c>
      <c r="Z124" s="462">
        <v>0</v>
      </c>
      <c r="AA124" s="44">
        <f>IF(Provozování!$Q$16="Neaktivní",H124,Q124)</f>
        <v>3.5999999999999997E-2</v>
      </c>
      <c r="AB124" s="30">
        <f t="shared" ref="AB124:AB129" si="16">Z124-AA124</f>
        <v>-3.5999999999999997E-2</v>
      </c>
      <c r="AC124" s="146"/>
      <c r="AD124" s="146"/>
      <c r="AE124" s="437" t="s">
        <v>323</v>
      </c>
      <c r="AF124" s="437"/>
      <c r="AG124" s="715"/>
      <c r="AH124" s="715"/>
      <c r="AK124" s="146"/>
      <c r="AL124" s="146"/>
      <c r="AM124" s="146"/>
      <c r="AN124" s="146"/>
    </row>
    <row r="125" spans="2:40" x14ac:dyDescent="0.25">
      <c r="B125" s="12" t="s">
        <v>59</v>
      </c>
      <c r="C125" s="13" t="s">
        <v>60</v>
      </c>
      <c r="D125" s="3" t="s">
        <v>58</v>
      </c>
      <c r="E125" s="44">
        <v>0</v>
      </c>
      <c r="F125" s="337">
        <v>0</v>
      </c>
      <c r="G125" s="44">
        <v>0</v>
      </c>
      <c r="H125" s="30">
        <f>IF(YEAR(Postup!$H$25)&gt;$D$80,Provozování!P52,IF(AND(DAY(Postup!$H$25)=31,MONTH(Postup!$H$25)=12,YEAR(Postup!$H$25)=$D$80),Provozování!P52,IF(YEAR(Postup!$H$25)=$D$80,Provozování!$BM52,0)))</f>
        <v>2.5999999999999999E-2</v>
      </c>
      <c r="K125" s="12" t="s">
        <v>59</v>
      </c>
      <c r="L125" s="13" t="s">
        <v>60</v>
      </c>
      <c r="M125" s="3" t="s">
        <v>58</v>
      </c>
      <c r="N125" s="44">
        <v>0</v>
      </c>
      <c r="O125" s="337">
        <v>0</v>
      </c>
      <c r="P125" s="44">
        <v>0</v>
      </c>
      <c r="Q125" s="53">
        <f>IF(Provozování!$Q$16="Neaktivní",0,Provozování!R52)</f>
        <v>0</v>
      </c>
      <c r="T125" s="12" t="s">
        <v>59</v>
      </c>
      <c r="U125" s="13" t="s">
        <v>60</v>
      </c>
      <c r="V125" s="3" t="s">
        <v>58</v>
      </c>
      <c r="W125" s="337">
        <v>0</v>
      </c>
      <c r="X125" s="337">
        <v>0</v>
      </c>
      <c r="Y125" s="337">
        <v>0</v>
      </c>
      <c r="Z125" s="462">
        <v>0</v>
      </c>
      <c r="AA125" s="44">
        <f>IF(Provozování!$Q$16="Neaktivní",H125,Q125)</f>
        <v>2.5999999999999999E-2</v>
      </c>
      <c r="AB125" s="30">
        <f t="shared" si="16"/>
        <v>-2.5999999999999999E-2</v>
      </c>
      <c r="AC125" s="146"/>
      <c r="AD125" s="146"/>
      <c r="AE125" s="438" t="s">
        <v>334</v>
      </c>
      <c r="AF125" s="438"/>
      <c r="AG125" s="712">
        <f>IF(AG123&gt;0,AG114*AI125*0.5,0)</f>
        <v>0</v>
      </c>
      <c r="AH125" s="712">
        <f>IF(AH123&gt;0,AH114*AJ125*0.5,0)</f>
        <v>0</v>
      </c>
      <c r="AI125" s="345">
        <f>IF(AG123&gt;0.05,0.05,AG123)</f>
        <v>0</v>
      </c>
      <c r="AJ125" s="345">
        <f>IF(AH123&gt;0.05,0.05,AH123)</f>
        <v>0</v>
      </c>
      <c r="AK125" s="146"/>
      <c r="AL125" s="146"/>
      <c r="AM125" s="146"/>
      <c r="AN125" s="146"/>
    </row>
    <row r="126" spans="2:40" x14ac:dyDescent="0.25">
      <c r="B126" s="12" t="s">
        <v>61</v>
      </c>
      <c r="C126" s="13" t="s">
        <v>65</v>
      </c>
      <c r="D126" s="3" t="s">
        <v>58</v>
      </c>
      <c r="E126" s="44">
        <v>0</v>
      </c>
      <c r="F126" s="337">
        <v>0</v>
      </c>
      <c r="G126" s="44">
        <v>0</v>
      </c>
      <c r="H126" s="30">
        <f>IF(YEAR(Postup!$H$25)&gt;$D$80,Provozování!P53,IF(AND(DAY(Postup!$H$25)=31,MONTH(Postup!$H$25)=12,YEAR(Postup!$H$25)=$D$80),Provozování!P53,IF(YEAR(Postup!$H$25)=$D$80,Provozování!$BM53,0)))</f>
        <v>8.0000000000000002E-3</v>
      </c>
      <c r="K126" s="12" t="s">
        <v>61</v>
      </c>
      <c r="L126" s="13" t="s">
        <v>65</v>
      </c>
      <c r="M126" s="3" t="s">
        <v>58</v>
      </c>
      <c r="N126" s="44">
        <v>0</v>
      </c>
      <c r="O126" s="337">
        <v>0</v>
      </c>
      <c r="P126" s="44">
        <v>0</v>
      </c>
      <c r="Q126" s="53">
        <f>IF(Provozování!$Q$16="Neaktivní",0,Provozování!R53)</f>
        <v>0</v>
      </c>
      <c r="T126" s="12" t="s">
        <v>61</v>
      </c>
      <c r="U126" s="13" t="s">
        <v>65</v>
      </c>
      <c r="V126" s="3" t="s">
        <v>58</v>
      </c>
      <c r="W126" s="337">
        <v>0</v>
      </c>
      <c r="X126" s="337">
        <v>0</v>
      </c>
      <c r="Y126" s="337">
        <v>0</v>
      </c>
      <c r="Z126" s="462">
        <v>0</v>
      </c>
      <c r="AA126" s="44">
        <f>IF(Provozování!$Q$16="Neaktivní",H126,Q126)</f>
        <v>8.0000000000000002E-3</v>
      </c>
      <c r="AB126" s="30">
        <f t="shared" si="16"/>
        <v>-8.0000000000000002E-3</v>
      </c>
      <c r="AC126" s="146"/>
      <c r="AD126" s="146"/>
      <c r="AE126" s="415" t="s">
        <v>335</v>
      </c>
      <c r="AF126" s="415"/>
      <c r="AG126" s="270">
        <f>IF(AI126&gt;0,AG114*(AI126-0.05)*0.8,0)</f>
        <v>0</v>
      </c>
      <c r="AH126" s="270">
        <f>IF(AJ126&gt;0,AH114*(AJ126-0.05)*0.8,0)</f>
        <v>0</v>
      </c>
      <c r="AI126" s="345">
        <f>IF(AND(AG123&gt;0.05,AG123&lt;=0.1),AG123,IF(AG123&lt;=0.05,0,0.1))</f>
        <v>0</v>
      </c>
      <c r="AJ126" s="345">
        <f>IF(AND(AH123&gt;0.05,AH123&lt;=0.1),AH123,IF(AH123&lt;=0.05,0,0.1))</f>
        <v>0</v>
      </c>
      <c r="AK126" s="146"/>
      <c r="AL126" s="146"/>
      <c r="AM126" s="146"/>
      <c r="AN126" s="146"/>
    </row>
    <row r="127" spans="2:40" x14ac:dyDescent="0.25">
      <c r="B127" s="12" t="s">
        <v>63</v>
      </c>
      <c r="C127" s="13" t="s">
        <v>67</v>
      </c>
      <c r="D127" s="3" t="s">
        <v>58</v>
      </c>
      <c r="E127" s="44">
        <v>0</v>
      </c>
      <c r="F127" s="337">
        <v>0</v>
      </c>
      <c r="G127" s="44">
        <v>0</v>
      </c>
      <c r="H127" s="30">
        <f>IF(YEAR(Postup!$H$25)&gt;$D$80,Provozování!P54,IF(AND(DAY(Postup!$H$25)=31,MONTH(Postup!$H$25)=12,YEAR(Postup!$H$25)=$D$80),Provozování!P54,IF(YEAR(Postup!$H$25)=$D$80,Provozování!$BM54,0)))</f>
        <v>0.1</v>
      </c>
      <c r="K127" s="12" t="s">
        <v>63</v>
      </c>
      <c r="L127" s="13" t="s">
        <v>67</v>
      </c>
      <c r="M127" s="3" t="s">
        <v>58</v>
      </c>
      <c r="N127" s="44">
        <v>0</v>
      </c>
      <c r="O127" s="337">
        <v>0</v>
      </c>
      <c r="P127" s="44">
        <v>0</v>
      </c>
      <c r="Q127" s="53">
        <f>IF(Provozování!$Q$16="Neaktivní",0,Provozování!R54)</f>
        <v>0</v>
      </c>
      <c r="T127" s="12" t="s">
        <v>63</v>
      </c>
      <c r="U127" s="13" t="s">
        <v>67</v>
      </c>
      <c r="V127" s="3" t="s">
        <v>58</v>
      </c>
      <c r="W127" s="337">
        <v>0</v>
      </c>
      <c r="X127" s="337">
        <v>0</v>
      </c>
      <c r="Y127" s="337">
        <v>0</v>
      </c>
      <c r="Z127" s="462">
        <v>0</v>
      </c>
      <c r="AA127" s="44">
        <f>IF(Provozování!$Q$16="Neaktivní",H127,Q127)</f>
        <v>0.1</v>
      </c>
      <c r="AB127" s="30">
        <f t="shared" si="16"/>
        <v>-0.1</v>
      </c>
      <c r="AC127" s="146"/>
      <c r="AD127" s="146"/>
      <c r="AE127" s="415" t="s">
        <v>336</v>
      </c>
      <c r="AF127" s="415"/>
      <c r="AG127" s="270">
        <f>IF(AI127&gt;0,AG114*(AI127-0.1)*1,0)</f>
        <v>0</v>
      </c>
      <c r="AH127" s="270">
        <f>IF(AJ127&gt;0,AH114*(AJ127-0.1)*1,0)</f>
        <v>0</v>
      </c>
      <c r="AI127" s="345">
        <f>IF(AG123&gt;0.1,AG123,0)</f>
        <v>0</v>
      </c>
      <c r="AJ127" s="345">
        <f>IF(AH123&gt;0.1,AH123,0)</f>
        <v>0</v>
      </c>
      <c r="AK127" s="146"/>
      <c r="AL127" s="146"/>
      <c r="AM127" s="146"/>
      <c r="AN127" s="146"/>
    </row>
    <row r="128" spans="2:40" x14ac:dyDescent="0.25">
      <c r="B128" s="12" t="s">
        <v>64</v>
      </c>
      <c r="C128" s="13" t="s">
        <v>68</v>
      </c>
      <c r="D128" s="3" t="s">
        <v>58</v>
      </c>
      <c r="E128" s="44">
        <v>0</v>
      </c>
      <c r="F128" s="44">
        <f>IF(YEAR(Postup!$H$25)&gt;$D$80,Provozování!O55,IF(AND(DAY(Postup!$H$25)=31,MONTH(Postup!$H$25)=12,YEAR(Postup!$H$25)=$D$80),Provozování!O55,IF(YEAR(Postup!$H$25)=$D$80,Provozování!$BL55,0)))</f>
        <v>0</v>
      </c>
      <c r="G128" s="44">
        <v>0</v>
      </c>
      <c r="H128" s="30">
        <f>IF(YEAR(Postup!$H$25)&gt;$D$80,Provozování!P55,IF(AND(DAY(Postup!$H$25)=31,MONTH(Postup!$H$25)=12,YEAR(Postup!$H$25)=$D$80),Provozování!P55,IF(YEAR(Postup!$H$25)=$D$80,Provozování!$BM55,0)))</f>
        <v>0</v>
      </c>
      <c r="K128" s="12" t="s">
        <v>64</v>
      </c>
      <c r="L128" s="13" t="s">
        <v>68</v>
      </c>
      <c r="M128" s="3" t="s">
        <v>58</v>
      </c>
      <c r="N128" s="44">
        <v>0</v>
      </c>
      <c r="O128" s="44">
        <f>IF(Provozování!$Q$16="Neaktivní",0,Provozování!Q55)</f>
        <v>0</v>
      </c>
      <c r="P128" s="44">
        <v>0</v>
      </c>
      <c r="Q128" s="53">
        <f>IF(Provozování!$Q$16="Neaktivní",0,Provozování!R55)</f>
        <v>0</v>
      </c>
      <c r="T128" s="12" t="s">
        <v>64</v>
      </c>
      <c r="U128" s="13" t="s">
        <v>68</v>
      </c>
      <c r="V128" s="3" t="s">
        <v>58</v>
      </c>
      <c r="W128" s="462">
        <v>0</v>
      </c>
      <c r="X128" s="44">
        <f>IF(Provozování!$Q$16="Neaktivní",F128,O128)</f>
        <v>0</v>
      </c>
      <c r="Y128" s="44">
        <f>W128-X128</f>
        <v>0</v>
      </c>
      <c r="Z128" s="462">
        <v>0</v>
      </c>
      <c r="AA128" s="44">
        <f>IF(Provozování!$Q$16="Neaktivní",H128,Q128)</f>
        <v>0</v>
      </c>
      <c r="AB128" s="30">
        <f t="shared" si="16"/>
        <v>0</v>
      </c>
      <c r="AC128" s="146"/>
      <c r="AD128" s="146"/>
      <c r="AE128" s="413" t="s">
        <v>324</v>
      </c>
      <c r="AF128" s="413"/>
      <c r="AG128" s="346">
        <f>SUM(AG125:AG127)</f>
        <v>0</v>
      </c>
      <c r="AH128" s="346">
        <f>SUM(AH125:AH127)</f>
        <v>0</v>
      </c>
      <c r="AK128" s="146"/>
      <c r="AL128" s="146"/>
      <c r="AM128" s="146"/>
      <c r="AN128" s="146"/>
    </row>
    <row r="129" spans="2:40" x14ac:dyDescent="0.25">
      <c r="B129" s="12" t="s">
        <v>66</v>
      </c>
      <c r="C129" s="13" t="s">
        <v>69</v>
      </c>
      <c r="D129" s="3" t="s">
        <v>58</v>
      </c>
      <c r="E129" s="44">
        <v>0</v>
      </c>
      <c r="F129" s="44">
        <f>IF(YEAR(Postup!$H$25)&gt;$D$80,Provozování!O56,IF(AND(DAY(Postup!$H$25)=31,MONTH(Postup!$H$25)=12,YEAR(Postup!$H$25)=$D$80),Provozování!O56,IF(YEAR(Postup!$H$25)=$D$80,Provozování!$BL56,0)))</f>
        <v>0</v>
      </c>
      <c r="G129" s="44">
        <v>0</v>
      </c>
      <c r="H129" s="30">
        <f>IF(YEAR(Postup!$H$25)&gt;$D$80,Provozování!P56,IF(AND(DAY(Postup!$H$25)=31,MONTH(Postup!$H$25)=12,YEAR(Postup!$H$25)=$D$80),Provozování!P56,IF(YEAR(Postup!$H$25)=$D$80,Provozování!$BM56,0)))</f>
        <v>0</v>
      </c>
      <c r="K129" s="12" t="s">
        <v>66</v>
      </c>
      <c r="L129" s="13" t="s">
        <v>69</v>
      </c>
      <c r="M129" s="3" t="s">
        <v>58</v>
      </c>
      <c r="N129" s="44">
        <v>0</v>
      </c>
      <c r="O129" s="44">
        <f>IF(Provozování!$Q$16="Neaktivní",0,Provozování!Q56)</f>
        <v>0</v>
      </c>
      <c r="P129" s="44">
        <v>0</v>
      </c>
      <c r="Q129" s="30">
        <f>IF(Provozování!$Q$16="Neaktivní",0,Provozování!R56)</f>
        <v>0</v>
      </c>
      <c r="T129" s="12" t="s">
        <v>66</v>
      </c>
      <c r="U129" s="13" t="s">
        <v>69</v>
      </c>
      <c r="V129" s="3" t="s">
        <v>58</v>
      </c>
      <c r="W129" s="462">
        <v>0</v>
      </c>
      <c r="X129" s="44">
        <f>IF(Provozování!$Q$16="Neaktivní",F129,O129)</f>
        <v>0</v>
      </c>
      <c r="Y129" s="44">
        <f>W129-X129</f>
        <v>0</v>
      </c>
      <c r="Z129" s="462">
        <v>0</v>
      </c>
      <c r="AA129" s="44">
        <f>IF(Provozování!$Q$16="Neaktivní",H129,Q129)</f>
        <v>0</v>
      </c>
      <c r="AB129" s="30">
        <f t="shared" si="16"/>
        <v>0</v>
      </c>
      <c r="AC129" s="146"/>
      <c r="AD129" s="146"/>
      <c r="AE129" s="146"/>
      <c r="AF129" s="146"/>
      <c r="AG129" s="146"/>
      <c r="AH129" s="146"/>
      <c r="AI129" s="146"/>
      <c r="AJ129" s="146"/>
      <c r="AK129" s="146"/>
      <c r="AL129" s="146"/>
      <c r="AM129" s="146"/>
      <c r="AN129" s="146"/>
    </row>
    <row r="130" spans="2:40" x14ac:dyDescent="0.25">
      <c r="B130" s="1"/>
      <c r="C130" s="1"/>
      <c r="D130" s="1"/>
      <c r="E130" s="1"/>
      <c r="F130" s="347"/>
      <c r="G130" s="1"/>
      <c r="H130" s="347"/>
      <c r="K130" s="1"/>
      <c r="L130" s="1"/>
      <c r="M130" s="1"/>
      <c r="N130" s="1"/>
      <c r="O130" s="1"/>
      <c r="P130" s="1"/>
      <c r="Q130" s="1"/>
      <c r="T130" s="1"/>
      <c r="U130" s="1"/>
      <c r="V130" s="1"/>
      <c r="W130" s="1"/>
      <c r="X130" s="1"/>
      <c r="Y130" s="1"/>
      <c r="Z130" s="1"/>
      <c r="AA130" s="1"/>
      <c r="AB130" s="1"/>
      <c r="AC130" s="146"/>
      <c r="AD130" s="146"/>
      <c r="AE130" s="146"/>
      <c r="AF130" s="146"/>
      <c r="AG130" s="146"/>
      <c r="AH130" s="146"/>
      <c r="AI130" s="146"/>
      <c r="AJ130" s="146"/>
      <c r="AK130" s="146"/>
      <c r="AL130" s="146"/>
      <c r="AM130" s="146"/>
      <c r="AN130" s="146"/>
    </row>
    <row r="131" spans="2:40" x14ac:dyDescent="0.25">
      <c r="B131" s="1052" t="s">
        <v>5</v>
      </c>
      <c r="C131" s="884" t="s">
        <v>70</v>
      </c>
      <c r="D131" s="868"/>
      <c r="E131" s="1082"/>
      <c r="F131" s="1083"/>
      <c r="G131" s="868"/>
      <c r="H131" s="869"/>
      <c r="K131" s="1052" t="s">
        <v>5</v>
      </c>
      <c r="L131" s="884" t="s">
        <v>70</v>
      </c>
      <c r="M131" s="868"/>
      <c r="N131" s="1082"/>
      <c r="O131" s="1083"/>
      <c r="P131" s="868"/>
      <c r="Q131" s="869"/>
      <c r="T131" s="1098" t="s">
        <v>5</v>
      </c>
      <c r="U131" s="884" t="s">
        <v>70</v>
      </c>
      <c r="V131" s="868"/>
      <c r="W131" s="1082"/>
      <c r="X131" s="1082"/>
      <c r="Y131" s="1083"/>
      <c r="Z131" s="868"/>
      <c r="AA131" s="868"/>
      <c r="AB131" s="869"/>
      <c r="AC131" s="146"/>
      <c r="AD131" s="146"/>
      <c r="AE131" s="146"/>
      <c r="AF131" s="146"/>
      <c r="AG131" s="146"/>
      <c r="AH131" s="146"/>
      <c r="AI131" s="146"/>
      <c r="AJ131" s="146"/>
      <c r="AK131" s="146"/>
      <c r="AL131" s="146"/>
      <c r="AM131" s="146"/>
      <c r="AN131" s="146"/>
    </row>
    <row r="132" spans="2:40" ht="15" customHeight="1" x14ac:dyDescent="0.25">
      <c r="B132" s="1053"/>
      <c r="C132" s="1052" t="s">
        <v>71</v>
      </c>
      <c r="D132" s="1065" t="s">
        <v>133</v>
      </c>
      <c r="E132" s="1085" t="s">
        <v>102</v>
      </c>
      <c r="F132" s="1086"/>
      <c r="G132" s="85" t="s">
        <v>3</v>
      </c>
      <c r="H132" s="23" t="s">
        <v>4</v>
      </c>
      <c r="K132" s="1053"/>
      <c r="L132" s="5" t="s">
        <v>71</v>
      </c>
      <c r="M132" s="1065" t="s">
        <v>133</v>
      </c>
      <c r="N132" s="1085" t="s">
        <v>102</v>
      </c>
      <c r="O132" s="1086"/>
      <c r="P132" s="85" t="s">
        <v>3</v>
      </c>
      <c r="Q132" s="23" t="s">
        <v>4</v>
      </c>
      <c r="T132" s="1099"/>
      <c r="U132" s="1052" t="s">
        <v>71</v>
      </c>
      <c r="V132" s="1065" t="s">
        <v>133</v>
      </c>
      <c r="W132" s="1085" t="s">
        <v>102</v>
      </c>
      <c r="X132" s="1086"/>
      <c r="Y132" s="1085" t="s">
        <v>3</v>
      </c>
      <c r="Z132" s="1101"/>
      <c r="AA132" s="1102" t="s">
        <v>4</v>
      </c>
      <c r="AB132" s="1102"/>
      <c r="AC132" s="146"/>
      <c r="AD132" s="146"/>
      <c r="AE132" s="146"/>
      <c r="AF132" s="146"/>
      <c r="AG132" s="146"/>
      <c r="AH132" s="146"/>
      <c r="AI132" s="146"/>
      <c r="AJ132" s="146"/>
      <c r="AK132" s="146"/>
      <c r="AL132" s="146"/>
      <c r="AM132" s="146"/>
      <c r="AN132" s="146"/>
    </row>
    <row r="133" spans="2:40" x14ac:dyDescent="0.25">
      <c r="B133" s="1054"/>
      <c r="C133" s="1054"/>
      <c r="D133" s="1084"/>
      <c r="E133" s="1087"/>
      <c r="F133" s="1088"/>
      <c r="G133" s="26" t="s">
        <v>7</v>
      </c>
      <c r="H133" s="24" t="s">
        <v>7</v>
      </c>
      <c r="K133" s="1054"/>
      <c r="L133" s="8"/>
      <c r="M133" s="1084"/>
      <c r="N133" s="1087"/>
      <c r="O133" s="1088"/>
      <c r="P133" s="26" t="s">
        <v>7</v>
      </c>
      <c r="Q133" s="24" t="s">
        <v>7</v>
      </c>
      <c r="T133" s="1100"/>
      <c r="U133" s="1054"/>
      <c r="V133" s="1084"/>
      <c r="W133" s="1087"/>
      <c r="X133" s="1088"/>
      <c r="Y133" s="37" t="s">
        <v>148</v>
      </c>
      <c r="Z133" s="37" t="s">
        <v>7</v>
      </c>
      <c r="AA133" s="37" t="s">
        <v>148</v>
      </c>
      <c r="AB133" s="37" t="s">
        <v>7</v>
      </c>
      <c r="AC133" s="146"/>
      <c r="AD133" s="146"/>
      <c r="AE133" s="146"/>
      <c r="AF133" s="146"/>
      <c r="AG133" s="146"/>
      <c r="AH133" s="146"/>
      <c r="AI133" s="146"/>
      <c r="AJ133" s="146"/>
      <c r="AK133" s="146"/>
      <c r="AL133" s="146"/>
      <c r="AM133" s="146"/>
      <c r="AN133" s="146"/>
    </row>
    <row r="134" spans="2:40" x14ac:dyDescent="0.25">
      <c r="B134" s="11">
        <v>1</v>
      </c>
      <c r="C134" s="11">
        <v>2</v>
      </c>
      <c r="D134" s="11" t="s">
        <v>95</v>
      </c>
      <c r="E134" s="873" t="s">
        <v>99</v>
      </c>
      <c r="F134" s="874"/>
      <c r="G134" s="11" t="s">
        <v>100</v>
      </c>
      <c r="H134" s="22" t="s">
        <v>101</v>
      </c>
      <c r="K134" s="11">
        <v>1</v>
      </c>
      <c r="L134" s="11">
        <v>2</v>
      </c>
      <c r="M134" s="11" t="s">
        <v>95</v>
      </c>
      <c r="N134" s="873" t="s">
        <v>99</v>
      </c>
      <c r="O134" s="874"/>
      <c r="P134" s="11" t="s">
        <v>100</v>
      </c>
      <c r="Q134" s="22" t="s">
        <v>101</v>
      </c>
      <c r="T134" s="11">
        <v>1</v>
      </c>
      <c r="U134" s="11">
        <v>2</v>
      </c>
      <c r="V134" s="11" t="s">
        <v>95</v>
      </c>
      <c r="W134" s="1096" t="s">
        <v>99</v>
      </c>
      <c r="X134" s="1097"/>
      <c r="Y134" s="11" t="s">
        <v>153</v>
      </c>
      <c r="Z134" s="11" t="s">
        <v>100</v>
      </c>
      <c r="AA134" s="11" t="s">
        <v>152</v>
      </c>
      <c r="AB134" s="22" t="s">
        <v>101</v>
      </c>
      <c r="AC134" s="146"/>
      <c r="AD134" s="146"/>
      <c r="AE134" s="146"/>
      <c r="AF134" s="146"/>
      <c r="AG134" s="146"/>
      <c r="AH134" s="146"/>
      <c r="AI134" s="146"/>
      <c r="AJ134" s="146"/>
      <c r="AK134" s="146"/>
      <c r="AL134" s="146"/>
      <c r="AM134" s="146"/>
      <c r="AN134" s="146"/>
    </row>
    <row r="135" spans="2:40" ht="14.45" customHeight="1" x14ac:dyDescent="0.25">
      <c r="B135" s="12" t="s">
        <v>72</v>
      </c>
      <c r="C135" s="13" t="s">
        <v>104</v>
      </c>
      <c r="D135" s="13" t="s">
        <v>73</v>
      </c>
      <c r="E135" s="875" t="s">
        <v>403</v>
      </c>
      <c r="F135" s="859"/>
      <c r="G135" s="137">
        <f>IF(F122=0,IF(F128&lt;&gt;0,F118/F128,0),F118/F122)</f>
        <v>24.708000047496004</v>
      </c>
      <c r="H135" s="138">
        <f>IF((H124+H126)=0,IF(H129&lt;&gt;0,H118/H129,0),H118/(H124+H126))</f>
        <v>48.776362879999994</v>
      </c>
      <c r="K135" s="12" t="s">
        <v>72</v>
      </c>
      <c r="L135" s="13" t="s">
        <v>104</v>
      </c>
      <c r="M135" s="13" t="s">
        <v>73</v>
      </c>
      <c r="N135" s="875" t="s">
        <v>403</v>
      </c>
      <c r="O135" s="859"/>
      <c r="P135" s="137">
        <f>IF(O122=0,IF(O128&lt;&gt;0,O118/O128,0),O118/O122)</f>
        <v>0</v>
      </c>
      <c r="Q135" s="138">
        <f>IF((Q124+Q126)=0,IF(Q129&lt;&gt;0,Q118/Q129,0),Q118/(Q124+Q126))</f>
        <v>0</v>
      </c>
      <c r="T135" s="12" t="s">
        <v>72</v>
      </c>
      <c r="U135" s="13" t="s">
        <v>104</v>
      </c>
      <c r="V135" s="13" t="s">
        <v>73</v>
      </c>
      <c r="W135" s="875" t="s">
        <v>403</v>
      </c>
      <c r="X135" s="859"/>
      <c r="Y135" s="137">
        <f>IF(W122=0,IF(W128&lt;&gt;0,W118/W128,0),W118/W122)</f>
        <v>0</v>
      </c>
      <c r="Z135" s="137">
        <f>IF(X122=0,IF(X128&lt;&gt;0,X118/X128,0),X118/X122)</f>
        <v>24.708000047496004</v>
      </c>
      <c r="AA135" s="137">
        <f>IF((Z124+Z126)=0,IF(Z129&lt;&gt;0,Z118/Z129,0),Z118/(Z124+Z126))</f>
        <v>0</v>
      </c>
      <c r="AB135" s="138">
        <f>IF((AA124+AA126)=0,IF(AA129&lt;&gt;0,AA118/AA129,0),AA118/(AA124+AA126))</f>
        <v>48.776362879999994</v>
      </c>
      <c r="AC135" s="146"/>
      <c r="AD135" s="146"/>
      <c r="AE135" s="146"/>
      <c r="AF135" s="146"/>
      <c r="AG135" s="146"/>
      <c r="AH135" s="146"/>
      <c r="AI135" s="146"/>
      <c r="AJ135" s="146"/>
      <c r="AK135" s="146"/>
      <c r="AL135" s="146"/>
      <c r="AM135" s="146"/>
      <c r="AN135" s="146"/>
    </row>
    <row r="136" spans="2:40" x14ac:dyDescent="0.25">
      <c r="B136" s="12" t="s">
        <v>74</v>
      </c>
      <c r="C136" s="13" t="s">
        <v>358</v>
      </c>
      <c r="D136" s="13" t="s">
        <v>10</v>
      </c>
      <c r="E136" s="858" t="s">
        <v>404</v>
      </c>
      <c r="F136" s="870"/>
      <c r="G136" s="340">
        <f>G137+G138</f>
        <v>0</v>
      </c>
      <c r="H136" s="341">
        <f>H137+H138</f>
        <v>0</v>
      </c>
      <c r="K136" s="12" t="s">
        <v>74</v>
      </c>
      <c r="L136" s="13" t="s">
        <v>358</v>
      </c>
      <c r="M136" s="13" t="s">
        <v>10</v>
      </c>
      <c r="N136" s="858" t="s">
        <v>404</v>
      </c>
      <c r="O136" s="870"/>
      <c r="P136" s="340">
        <f>P137+P138</f>
        <v>0</v>
      </c>
      <c r="Q136" s="341">
        <f>Q137+Q138</f>
        <v>0</v>
      </c>
      <c r="T136" s="12" t="s">
        <v>74</v>
      </c>
      <c r="U136" s="13" t="s">
        <v>358</v>
      </c>
      <c r="V136" s="13" t="s">
        <v>10</v>
      </c>
      <c r="W136" s="858" t="s">
        <v>404</v>
      </c>
      <c r="X136" s="870"/>
      <c r="Y136" s="340">
        <f>Y137+Y138</f>
        <v>0</v>
      </c>
      <c r="Z136" s="340">
        <f>Z137+Z138</f>
        <v>0</v>
      </c>
      <c r="AA136" s="340">
        <f>AA137+AA138</f>
        <v>0</v>
      </c>
      <c r="AB136" s="341">
        <f>AB137+AB138</f>
        <v>0</v>
      </c>
      <c r="AC136" s="146"/>
      <c r="AD136" s="146"/>
      <c r="AE136" s="146"/>
      <c r="AF136" s="146"/>
      <c r="AG136" s="146"/>
      <c r="AH136" s="146"/>
      <c r="AI136" s="146"/>
      <c r="AJ136" s="146"/>
      <c r="AK136" s="146"/>
      <c r="AL136" s="146"/>
      <c r="AM136" s="146"/>
      <c r="AN136" s="146"/>
    </row>
    <row r="137" spans="2:40" x14ac:dyDescent="0.25">
      <c r="B137" s="12" t="s">
        <v>352</v>
      </c>
      <c r="C137" s="13" t="s">
        <v>359</v>
      </c>
      <c r="D137" s="13" t="s">
        <v>10</v>
      </c>
      <c r="E137" s="871"/>
      <c r="F137" s="872"/>
      <c r="G137" s="340">
        <f>IF(YEAR(Postup!$H$25)&gt;$D$80,Provozování!O84,IF(AND(DAY(Postup!$H$25)=31,MONTH(Postup!$H$25)=12,YEAR(Postup!$H$25)=$D$80),Provozování!O84,IF(YEAR(Postup!$H$25)=$D$80,Provozování!$BL84,0)))</f>
        <v>0</v>
      </c>
      <c r="H137" s="341">
        <f>IF(YEAR(Postup!$H$25)&gt;$D$80,Provozování!P84,IF(AND(DAY(Postup!$H$25)=31,MONTH(Postup!$H$25)=12,YEAR(Postup!$H$25)=$D$80),Provozování!P84,IF(YEAR(Postup!$H$25)=$D$80,Provozování!$BM84,0)))</f>
        <v>0</v>
      </c>
      <c r="K137" s="12" t="s">
        <v>352</v>
      </c>
      <c r="L137" s="13" t="s">
        <v>359</v>
      </c>
      <c r="M137" s="13" t="s">
        <v>10</v>
      </c>
      <c r="N137" s="871"/>
      <c r="O137" s="872"/>
      <c r="P137" s="340">
        <f>IF(Provozování!$Q$16="Neaktivní",0,Provozování!Q84)</f>
        <v>0</v>
      </c>
      <c r="Q137" s="341">
        <f>IF(Provozování!$Q$16="Neaktivní",0,Provozování!R84)</f>
        <v>0</v>
      </c>
      <c r="T137" s="12" t="s">
        <v>352</v>
      </c>
      <c r="U137" s="13" t="s">
        <v>359</v>
      </c>
      <c r="V137" s="13" t="s">
        <v>10</v>
      </c>
      <c r="W137" s="871"/>
      <c r="X137" s="872"/>
      <c r="Y137" s="340">
        <f>Z137</f>
        <v>0</v>
      </c>
      <c r="Z137" s="340">
        <f>IF(Provozování!$Q$16="Neaktivní",G137,P137)</f>
        <v>0</v>
      </c>
      <c r="AA137" s="340">
        <f>AB137</f>
        <v>0</v>
      </c>
      <c r="AB137" s="341">
        <f>IF(Provozování!$Q$16="Neaktivní",H137,Q137)</f>
        <v>0</v>
      </c>
      <c r="AC137" s="146"/>
      <c r="AD137" s="146"/>
      <c r="AE137" s="146"/>
      <c r="AF137" s="146"/>
      <c r="AG137" s="146"/>
      <c r="AH137" s="146"/>
      <c r="AI137" s="146"/>
      <c r="AJ137" s="146"/>
      <c r="AK137" s="146"/>
      <c r="AL137" s="146"/>
      <c r="AM137" s="146"/>
      <c r="AN137" s="146"/>
    </row>
    <row r="138" spans="2:40" x14ac:dyDescent="0.25">
      <c r="B138" s="12" t="s">
        <v>361</v>
      </c>
      <c r="C138" s="13" t="s">
        <v>360</v>
      </c>
      <c r="D138" s="13" t="s">
        <v>10</v>
      </c>
      <c r="E138" s="884"/>
      <c r="F138" s="869"/>
      <c r="G138" s="340">
        <f>IF(YEAR(Postup!$H$25)&gt;$D$80,((-1)*(Provozování!O102)),IF(AND(DAY(Postup!$H$25)=31,MONTH(Postup!$H$25)=12,YEAR(Postup!$H$25)=$D$80),((-1)*(Provozování!O102)),IF(YEAR(Postup!$H$25)=$D$80,((-1)*(Provozování!O102)),0)))</f>
        <v>0</v>
      </c>
      <c r="H138" s="341">
        <f>IF(YEAR(Postup!$H$25)&gt;$D$80,((-1)*(Provozování!P102)),IF(AND(DAY(Postup!$H$25)=31,MONTH(Postup!$H$25)=12,YEAR(Postup!$H$25)=$D$80),((-1)*(Provozování!P102)),IF(YEAR(Postup!$H$25)=$D$80,((-1)*(Provozování!P102)),0)))</f>
        <v>0</v>
      </c>
      <c r="K138" s="12" t="s">
        <v>361</v>
      </c>
      <c r="L138" s="13" t="s">
        <v>360</v>
      </c>
      <c r="M138" s="13" t="s">
        <v>10</v>
      </c>
      <c r="N138" s="884"/>
      <c r="O138" s="869"/>
      <c r="P138" s="340">
        <f>IF(Provozování!$Q$16="Neaktivní",0,((-1)*(Provozování!O102)))</f>
        <v>0</v>
      </c>
      <c r="Q138" s="341">
        <f>IF(Provozování!$Q$16="Neaktivní",0,((-1)*(Provozování!P102)))</f>
        <v>0</v>
      </c>
      <c r="T138" s="12" t="s">
        <v>361</v>
      </c>
      <c r="U138" s="13" t="s">
        <v>360</v>
      </c>
      <c r="V138" s="13" t="s">
        <v>10</v>
      </c>
      <c r="W138" s="884"/>
      <c r="X138" s="869"/>
      <c r="Y138" s="340">
        <f>Z138</f>
        <v>0</v>
      </c>
      <c r="Z138" s="340">
        <f>IF(Provozování!$Q$16="Neaktivní",G138,P138)</f>
        <v>0</v>
      </c>
      <c r="AA138" s="340">
        <f>AB138</f>
        <v>0</v>
      </c>
      <c r="AB138" s="341">
        <f>IF(Provozování!$Q$16="Neaktivní",H138,Q138)</f>
        <v>0</v>
      </c>
      <c r="AC138" s="146"/>
      <c r="AD138" s="146"/>
      <c r="AE138" s="146"/>
      <c r="AF138" s="146"/>
      <c r="AG138" s="146"/>
      <c r="AH138" s="146"/>
      <c r="AI138" s="146"/>
      <c r="AJ138" s="146"/>
      <c r="AK138" s="146"/>
      <c r="AL138" s="146"/>
      <c r="AM138" s="146"/>
      <c r="AN138" s="146"/>
    </row>
    <row r="139" spans="2:40" x14ac:dyDescent="0.25">
      <c r="B139" s="12" t="s">
        <v>75</v>
      </c>
      <c r="C139" s="13" t="s">
        <v>396</v>
      </c>
      <c r="D139" s="13" t="s">
        <v>10</v>
      </c>
      <c r="E139" s="858" t="s">
        <v>405</v>
      </c>
      <c r="F139" s="859"/>
      <c r="G139" s="340">
        <f>F118+G136</f>
        <v>0.82359991922319997</v>
      </c>
      <c r="H139" s="341">
        <f>H118+H136</f>
        <v>2.1461599667199995</v>
      </c>
      <c r="K139" s="12" t="s">
        <v>75</v>
      </c>
      <c r="L139" s="13" t="s">
        <v>396</v>
      </c>
      <c r="M139" s="13" t="s">
        <v>10</v>
      </c>
      <c r="N139" s="858" t="s">
        <v>405</v>
      </c>
      <c r="O139" s="859"/>
      <c r="P139" s="340">
        <f>O118+P136</f>
        <v>0</v>
      </c>
      <c r="Q139" s="341">
        <f>Q118+Q136</f>
        <v>0</v>
      </c>
      <c r="T139" s="12" t="s">
        <v>75</v>
      </c>
      <c r="U139" s="13" t="s">
        <v>396</v>
      </c>
      <c r="V139" s="13" t="s">
        <v>10</v>
      </c>
      <c r="W139" s="858" t="s">
        <v>405</v>
      </c>
      <c r="X139" s="859"/>
      <c r="Y139" s="14">
        <f>W118+Y136</f>
        <v>0.32656000000000002</v>
      </c>
      <c r="Z139" s="14">
        <f>X118+Z136</f>
        <v>0.82359991922319997</v>
      </c>
      <c r="AA139" s="14">
        <f>Z118+AA136</f>
        <v>0.91936000000000007</v>
      </c>
      <c r="AB139" s="15">
        <f>AA118+AB136</f>
        <v>2.1461599667199995</v>
      </c>
      <c r="AC139" s="146"/>
      <c r="AD139" s="146"/>
      <c r="AE139" s="146"/>
      <c r="AF139" s="146"/>
      <c r="AG139" s="146"/>
      <c r="AH139" s="146"/>
      <c r="AI139" s="146"/>
      <c r="AJ139" s="146"/>
      <c r="AK139" s="146"/>
      <c r="AL139" s="146"/>
      <c r="AM139" s="146"/>
      <c r="AN139" s="146"/>
    </row>
    <row r="140" spans="2:40" x14ac:dyDescent="0.25">
      <c r="B140" s="12" t="s">
        <v>76</v>
      </c>
      <c r="C140" s="13" t="s">
        <v>373</v>
      </c>
      <c r="D140" s="13" t="s">
        <v>10</v>
      </c>
      <c r="E140" s="858"/>
      <c r="F140" s="859"/>
      <c r="G140" s="340">
        <f>IF(YEAR(Postup!$H$25)&gt;$D$80,Provozování!O87,IF(AND(DAY(Postup!$H$25)=31,MONTH(Postup!$H$25)=12,YEAR(Postup!$H$25)=$D$80),Provozování!O87,IF(YEAR(Postup!$H$25)=$D$80,Provozování!$BL87,0)))</f>
        <v>2.3999896640999999E-2</v>
      </c>
      <c r="H140" s="341">
        <f>IF(YEAR(Postup!$H$25)&gt;$D$80,Provozování!P87,IF(AND(DAY(Postup!$H$25)=31,MONTH(Postup!$H$25)=12,YEAR(Postup!$H$25)=$D$80),Provozování!P87,IF(YEAR(Postup!$H$25)=$D$80,Provozování!$BM87,0)))</f>
        <v>0.100000278</v>
      </c>
      <c r="K140" s="12" t="s">
        <v>76</v>
      </c>
      <c r="L140" s="13" t="s">
        <v>373</v>
      </c>
      <c r="M140" s="13" t="s">
        <v>10</v>
      </c>
      <c r="N140" s="858"/>
      <c r="O140" s="859"/>
      <c r="P140" s="340">
        <f>IF(Provozování!$Q$16="Neaktivní",0,Provozování!Q87)</f>
        <v>0</v>
      </c>
      <c r="Q140" s="341">
        <f>IF(Provozování!$Q$16="Neaktivní",0,Provozování!R87)</f>
        <v>0</v>
      </c>
      <c r="T140" s="12" t="s">
        <v>76</v>
      </c>
      <c r="U140" s="13" t="s">
        <v>373</v>
      </c>
      <c r="V140" s="13" t="s">
        <v>10</v>
      </c>
      <c r="W140" s="858"/>
      <c r="X140" s="859"/>
      <c r="Y140" s="462">
        <f>IF(Provozování!Q16="Aktivní",Provozování!Q87,Provozování!O87)</f>
        <v>2.3999896640999999E-2</v>
      </c>
      <c r="Z140" s="14">
        <f>IF(Provozování!$Q$16="Neaktivní",G140,P140)</f>
        <v>2.3999896640999999E-2</v>
      </c>
      <c r="AA140" s="462">
        <f>IF(Provozování!Q16="Aktivní",Provozování!R87,Provozování!P87)</f>
        <v>0.100000278</v>
      </c>
      <c r="AB140" s="15">
        <f>IF(Provozování!$Q$16="Neaktivní",H140,Q140)</f>
        <v>0.100000278</v>
      </c>
      <c r="AC140" s="146"/>
      <c r="AD140" s="146"/>
      <c r="AE140" s="146"/>
      <c r="AF140" s="146"/>
      <c r="AG140" s="146"/>
      <c r="AH140" s="146"/>
      <c r="AI140" s="146"/>
      <c r="AJ140" s="146"/>
      <c r="AK140" s="146"/>
      <c r="AL140" s="146"/>
      <c r="AM140" s="146"/>
      <c r="AN140" s="146"/>
    </row>
    <row r="141" spans="2:40" ht="14.45" customHeight="1" x14ac:dyDescent="0.25">
      <c r="B141" s="210" t="s">
        <v>78</v>
      </c>
      <c r="C141" s="531" t="s">
        <v>402</v>
      </c>
      <c r="D141" s="244" t="s">
        <v>77</v>
      </c>
      <c r="E141" s="875" t="s">
        <v>406</v>
      </c>
      <c r="F141" s="1048"/>
      <c r="G141" s="138">
        <f>IF(G139=0,0,G140/G139*100)</f>
        <v>2.9140236759173233</v>
      </c>
      <c r="H141" s="138">
        <f>IF(H139=0,0,H140/H139*100)</f>
        <v>4.6594978729768943</v>
      </c>
      <c r="K141" s="12" t="s">
        <v>78</v>
      </c>
      <c r="L141" s="21" t="s">
        <v>402</v>
      </c>
      <c r="M141" s="13" t="s">
        <v>77</v>
      </c>
      <c r="N141" s="875" t="s">
        <v>406</v>
      </c>
      <c r="O141" s="1048"/>
      <c r="P141" s="137">
        <f>IF(P139=0,0,P140/P139*100)</f>
        <v>0</v>
      </c>
      <c r="Q141" s="138">
        <f>IF(Q139=0,0,Q140/Q139*100)</f>
        <v>0</v>
      </c>
      <c r="T141" s="12" t="s">
        <v>78</v>
      </c>
      <c r="U141" s="21" t="s">
        <v>402</v>
      </c>
      <c r="V141" s="13" t="s">
        <v>77</v>
      </c>
      <c r="W141" s="875" t="s">
        <v>406</v>
      </c>
      <c r="X141" s="1048"/>
      <c r="Y141" s="137">
        <f>IF(Y139=0,0,Y140/Y139*100)</f>
        <v>7.3493069086844676</v>
      </c>
      <c r="Z141" s="137">
        <f>IF(Z139=0,0,Z140/Z139*100)</f>
        <v>2.9140236759173233</v>
      </c>
      <c r="AA141" s="137">
        <f>IF(AA139=0,0,AA140/AA139*100)</f>
        <v>10.87716215628263</v>
      </c>
      <c r="AB141" s="138">
        <f>IF(AB139=0,0,AB140/AB139*100)</f>
        <v>4.6594978729768943</v>
      </c>
      <c r="AC141" s="146"/>
      <c r="AD141" s="146"/>
      <c r="AE141" s="146"/>
      <c r="AF141" s="146"/>
      <c r="AG141" s="146"/>
      <c r="AH141" s="146"/>
      <c r="AI141" s="146"/>
      <c r="AJ141" s="146"/>
      <c r="AK141" s="146"/>
      <c r="AL141" s="146"/>
      <c r="AM141" s="146"/>
      <c r="AN141" s="146"/>
    </row>
    <row r="142" spans="2:40" x14ac:dyDescent="0.25">
      <c r="B142" s="210" t="s">
        <v>79</v>
      </c>
      <c r="C142" s="531" t="s">
        <v>408</v>
      </c>
      <c r="D142" s="244" t="s">
        <v>10</v>
      </c>
      <c r="E142" s="858" t="s">
        <v>407</v>
      </c>
      <c r="F142" s="870"/>
      <c r="G142" s="111">
        <v>0</v>
      </c>
      <c r="H142" s="111">
        <v>0</v>
      </c>
      <c r="K142" s="210" t="s">
        <v>79</v>
      </c>
      <c r="L142" s="531" t="s">
        <v>408</v>
      </c>
      <c r="M142" s="244" t="s">
        <v>10</v>
      </c>
      <c r="N142" s="858" t="s">
        <v>407</v>
      </c>
      <c r="O142" s="870"/>
      <c r="P142" s="111">
        <v>0</v>
      </c>
      <c r="Q142" s="111">
        <v>0</v>
      </c>
      <c r="T142" s="12" t="s">
        <v>79</v>
      </c>
      <c r="U142" s="21" t="s">
        <v>408</v>
      </c>
      <c r="V142" s="13" t="s">
        <v>10</v>
      </c>
      <c r="W142" s="858" t="s">
        <v>407</v>
      </c>
      <c r="X142" s="870"/>
      <c r="Y142" s="337">
        <v>0</v>
      </c>
      <c r="Z142" s="337">
        <v>0</v>
      </c>
      <c r="AA142" s="337">
        <v>0</v>
      </c>
      <c r="AB142" s="334">
        <v>0</v>
      </c>
      <c r="AC142" s="146"/>
      <c r="AD142" s="146"/>
      <c r="AE142" s="146"/>
      <c r="AF142" s="146"/>
      <c r="AG142" s="146"/>
      <c r="AH142" s="146"/>
      <c r="AI142" s="146"/>
      <c r="AJ142" s="146"/>
      <c r="AK142" s="146"/>
      <c r="AL142" s="146"/>
      <c r="AM142" s="146"/>
      <c r="AN142" s="146"/>
    </row>
    <row r="143" spans="2:40" x14ac:dyDescent="0.25">
      <c r="B143" s="210" t="s">
        <v>80</v>
      </c>
      <c r="C143" s="532" t="s">
        <v>354</v>
      </c>
      <c r="D143" s="244"/>
      <c r="E143" s="858" t="s">
        <v>409</v>
      </c>
      <c r="F143" s="870"/>
      <c r="G143" s="111">
        <f>G140-G142</f>
        <v>2.3999896640999999E-2</v>
      </c>
      <c r="H143" s="111">
        <f>H140-H142</f>
        <v>0.100000278</v>
      </c>
      <c r="K143" s="210" t="s">
        <v>80</v>
      </c>
      <c r="L143" s="532" t="s">
        <v>354</v>
      </c>
      <c r="M143" s="244"/>
      <c r="N143" s="858" t="s">
        <v>409</v>
      </c>
      <c r="O143" s="870"/>
      <c r="P143" s="111">
        <f>P140-P142</f>
        <v>0</v>
      </c>
      <c r="Q143" s="111">
        <f>Q140-Q142</f>
        <v>0</v>
      </c>
      <c r="T143" s="12" t="s">
        <v>80</v>
      </c>
      <c r="U143" s="497" t="s">
        <v>354</v>
      </c>
      <c r="V143" s="13"/>
      <c r="W143" s="858" t="s">
        <v>409</v>
      </c>
      <c r="X143" s="870"/>
      <c r="Y143" s="337">
        <f>Y140-Y142</f>
        <v>2.3999896640999999E-2</v>
      </c>
      <c r="Z143" s="337">
        <f>Z140-Z142</f>
        <v>2.3999896640999999E-2</v>
      </c>
      <c r="AA143" s="337">
        <f>AA140-AA142</f>
        <v>0.100000278</v>
      </c>
      <c r="AB143" s="334">
        <f>AB140-AB142</f>
        <v>0.100000278</v>
      </c>
      <c r="AC143" s="146"/>
      <c r="AD143" s="146"/>
      <c r="AE143" s="146"/>
      <c r="AF143" s="146"/>
      <c r="AG143" s="146"/>
      <c r="AH143" s="146"/>
      <c r="AI143" s="146"/>
      <c r="AJ143" s="146"/>
      <c r="AK143" s="146"/>
      <c r="AL143" s="146"/>
      <c r="AM143" s="146"/>
      <c r="AN143" s="146"/>
    </row>
    <row r="144" spans="2:40" x14ac:dyDescent="0.25">
      <c r="B144" s="210" t="s">
        <v>82</v>
      </c>
      <c r="C144" s="244" t="s">
        <v>395</v>
      </c>
      <c r="D144" s="244" t="s">
        <v>10</v>
      </c>
      <c r="E144" s="858" t="s">
        <v>410</v>
      </c>
      <c r="F144" s="870"/>
      <c r="G144" s="341">
        <f>G139+G140</f>
        <v>0.84759981586419997</v>
      </c>
      <c r="H144" s="341">
        <f>H139+H140</f>
        <v>2.2461602447199995</v>
      </c>
      <c r="K144" s="210" t="s">
        <v>82</v>
      </c>
      <c r="L144" s="244" t="s">
        <v>395</v>
      </c>
      <c r="M144" s="244" t="s">
        <v>10</v>
      </c>
      <c r="N144" s="858" t="s">
        <v>410</v>
      </c>
      <c r="O144" s="870"/>
      <c r="P144" s="341">
        <f>P139+P140</f>
        <v>0</v>
      </c>
      <c r="Q144" s="341">
        <f>Q139+Q140</f>
        <v>0</v>
      </c>
      <c r="T144" s="12" t="s">
        <v>82</v>
      </c>
      <c r="U144" s="13" t="s">
        <v>395</v>
      </c>
      <c r="V144" s="13" t="s">
        <v>10</v>
      </c>
      <c r="W144" s="858" t="s">
        <v>410</v>
      </c>
      <c r="X144" s="870"/>
      <c r="Y144" s="340">
        <f>Y139+Y140</f>
        <v>0.35055989664100001</v>
      </c>
      <c r="Z144" s="340">
        <f>Z139+Z140</f>
        <v>0.84759981586419997</v>
      </c>
      <c r="AA144" s="340">
        <f>AA139+AA140</f>
        <v>1.0193602780000002</v>
      </c>
      <c r="AB144" s="341">
        <f>AB139+AB140</f>
        <v>2.2461602447199995</v>
      </c>
      <c r="AC144" s="146"/>
      <c r="AD144" s="146"/>
      <c r="AE144" s="146"/>
      <c r="AF144" s="146"/>
      <c r="AG144" s="146"/>
      <c r="AH144" s="146"/>
      <c r="AI144" s="146"/>
      <c r="AJ144" s="146"/>
      <c r="AK144" s="146"/>
      <c r="AL144" s="146"/>
      <c r="AM144" s="146"/>
      <c r="AN144" s="146"/>
    </row>
    <row r="145" spans="1:40" x14ac:dyDescent="0.25">
      <c r="B145" s="210" t="s">
        <v>83</v>
      </c>
      <c r="C145" s="244" t="s">
        <v>81</v>
      </c>
      <c r="D145" s="244" t="s">
        <v>58</v>
      </c>
      <c r="E145" s="858" t="s">
        <v>411</v>
      </c>
      <c r="F145" s="870"/>
      <c r="G145" s="341">
        <f>IF(F122=0,F128,F122)</f>
        <v>3.3333330000000001E-2</v>
      </c>
      <c r="H145" s="341">
        <f>IF(H124+H126=0,H129,H124+H126)</f>
        <v>4.3999999999999997E-2</v>
      </c>
      <c r="K145" s="210" t="s">
        <v>83</v>
      </c>
      <c r="L145" s="244" t="s">
        <v>81</v>
      </c>
      <c r="M145" s="244" t="s">
        <v>58</v>
      </c>
      <c r="N145" s="858" t="s">
        <v>411</v>
      </c>
      <c r="O145" s="870"/>
      <c r="P145" s="341">
        <f>IF(O122=0,O128,O122)</f>
        <v>0</v>
      </c>
      <c r="Q145" s="341">
        <f>IF(Q124+Q126=0,Q129,Q124+Q126)</f>
        <v>0</v>
      </c>
      <c r="T145" s="12" t="s">
        <v>83</v>
      </c>
      <c r="U145" s="13" t="s">
        <v>81</v>
      </c>
      <c r="V145" s="13" t="s">
        <v>58</v>
      </c>
      <c r="W145" s="858" t="s">
        <v>411</v>
      </c>
      <c r="X145" s="870"/>
      <c r="Y145" s="14">
        <f>IF(W122=0,W128,W122)</f>
        <v>0</v>
      </c>
      <c r="Z145" s="14">
        <f>IF(X122=0,X128,X122)</f>
        <v>3.3333330000000001E-2</v>
      </c>
      <c r="AA145" s="14">
        <f>IF(Z124+Z126=0,Z129,Z124+Z126)</f>
        <v>0</v>
      </c>
      <c r="AB145" s="15">
        <f>IF(AA124+AA126=0,AA129,AA124+AA126)</f>
        <v>4.3999999999999997E-2</v>
      </c>
      <c r="AC145" s="146"/>
      <c r="AD145" s="146"/>
      <c r="AE145" s="146"/>
      <c r="AF145" s="146"/>
      <c r="AG145" s="146"/>
      <c r="AH145" s="146"/>
      <c r="AI145" s="146"/>
      <c r="AJ145" s="146"/>
      <c r="AK145" s="146"/>
      <c r="AL145" s="146"/>
      <c r="AM145" s="146"/>
      <c r="AN145" s="146"/>
    </row>
    <row r="146" spans="1:40" x14ac:dyDescent="0.25">
      <c r="B146" s="210" t="s">
        <v>155</v>
      </c>
      <c r="C146" s="244" t="s">
        <v>393</v>
      </c>
      <c r="D146" s="244" t="s">
        <v>73</v>
      </c>
      <c r="E146" s="858" t="s">
        <v>412</v>
      </c>
      <c r="F146" s="870"/>
      <c r="G146" s="138">
        <f>IF(G145=0,0,G144/G145)</f>
        <v>25.427997018725701</v>
      </c>
      <c r="H146" s="138">
        <f>IF(H145=0,0,H144/H145)</f>
        <v>51.049096470909085</v>
      </c>
      <c r="K146" s="210" t="s">
        <v>155</v>
      </c>
      <c r="L146" s="244" t="s">
        <v>393</v>
      </c>
      <c r="M146" s="244" t="s">
        <v>73</v>
      </c>
      <c r="N146" s="858" t="s">
        <v>412</v>
      </c>
      <c r="O146" s="870"/>
      <c r="P146" s="138">
        <f>IF(P145=0,0,P144/P145)</f>
        <v>0</v>
      </c>
      <c r="Q146" s="138">
        <f>IF(Q145=0,0,Q144/Q145)</f>
        <v>0</v>
      </c>
      <c r="T146" s="12" t="s">
        <v>155</v>
      </c>
      <c r="U146" s="13" t="s">
        <v>393</v>
      </c>
      <c r="V146" s="13" t="s">
        <v>73</v>
      </c>
      <c r="W146" s="858" t="s">
        <v>412</v>
      </c>
      <c r="X146" s="870"/>
      <c r="Y146" s="137">
        <f>IF(Y145=0,0,Y144/Y145)</f>
        <v>0</v>
      </c>
      <c r="Z146" s="137">
        <f>IF(Z145=0,0,Z144/Z145)</f>
        <v>25.427997018725701</v>
      </c>
      <c r="AA146" s="137">
        <f>IF(AA145=0,0,AA144/AA145)</f>
        <v>0</v>
      </c>
      <c r="AB146" s="138">
        <f>IF(AB145=0,0,AB144/AB145)</f>
        <v>51.049096470909085</v>
      </c>
      <c r="AC146" s="146"/>
      <c r="AD146" s="146"/>
      <c r="AE146" s="146"/>
      <c r="AF146" s="146"/>
      <c r="AG146" s="146"/>
      <c r="AH146" s="146"/>
      <c r="AI146" s="146"/>
      <c r="AJ146" s="146"/>
      <c r="AK146" s="146"/>
      <c r="AL146" s="146"/>
      <c r="AM146" s="146"/>
      <c r="AN146" s="146"/>
    </row>
    <row r="147" spans="1:40" x14ac:dyDescent="0.25">
      <c r="B147" s="210" t="s">
        <v>355</v>
      </c>
      <c r="C147" s="244" t="str">
        <f>CONCATENATE("UPLATŇOVANÁ CENA pro vodné, stočné +",Provozování!O97*100,"% DPH")</f>
        <v>UPLATŇOVANÁ CENA pro vodné, stočné +10% DPH</v>
      </c>
      <c r="D147" s="244" t="s">
        <v>73</v>
      </c>
      <c r="E147" s="858" t="s">
        <v>413</v>
      </c>
      <c r="F147" s="870"/>
      <c r="G147" s="138">
        <f>G146*(1+Provozování!O$97)</f>
        <v>27.970796720598273</v>
      </c>
      <c r="H147" s="138">
        <f>H146*(1+Provozování!P$97)</f>
        <v>56.154006117999998</v>
      </c>
      <c r="K147" s="210" t="s">
        <v>355</v>
      </c>
      <c r="L147" s="244" t="str">
        <f>C147</f>
        <v>UPLATŇOVANÁ CENA pro vodné, stočné +10% DPH</v>
      </c>
      <c r="M147" s="244" t="s">
        <v>73</v>
      </c>
      <c r="N147" s="858" t="s">
        <v>413</v>
      </c>
      <c r="O147" s="870"/>
      <c r="P147" s="138">
        <f>P146*(1+Provozování!O$97)</f>
        <v>0</v>
      </c>
      <c r="Q147" s="138">
        <f>Q146*(1+Provozování!P$97)</f>
        <v>0</v>
      </c>
      <c r="T147" s="12" t="s">
        <v>355</v>
      </c>
      <c r="U147" s="13" t="str">
        <f>C147</f>
        <v>UPLATŇOVANÁ CENA pro vodné, stočné +10% DPH</v>
      </c>
      <c r="V147" s="13" t="s">
        <v>73</v>
      </c>
      <c r="W147" s="858" t="s">
        <v>413</v>
      </c>
      <c r="X147" s="870"/>
      <c r="Y147" s="137">
        <f>Y146*(1+Provozování!O$97)</f>
        <v>0</v>
      </c>
      <c r="Z147" s="137">
        <f>Z146*(1+Provozování!P$97)</f>
        <v>27.970796720598273</v>
      </c>
      <c r="AA147" s="137">
        <f>AA146*(1+Provozování!O$97)</f>
        <v>0</v>
      </c>
      <c r="AB147" s="138">
        <f>AB146*(1+Provozování!P$97)</f>
        <v>56.154006117999998</v>
      </c>
      <c r="AC147" s="146"/>
      <c r="AD147" s="146"/>
      <c r="AE147" s="146"/>
      <c r="AF147" s="146"/>
      <c r="AG147" s="146"/>
      <c r="AH147" s="146"/>
      <c r="AI147" s="146"/>
      <c r="AJ147" s="146"/>
      <c r="AK147" s="146"/>
      <c r="AL147" s="146"/>
      <c r="AM147" s="146"/>
      <c r="AN147" s="146"/>
    </row>
    <row r="148" spans="1:40" x14ac:dyDescent="0.25">
      <c r="B148" s="210" t="s">
        <v>356</v>
      </c>
      <c r="C148" s="244" t="s">
        <v>357</v>
      </c>
      <c r="D148" s="244" t="s">
        <v>73</v>
      </c>
      <c r="E148" s="884" t="s">
        <v>414</v>
      </c>
      <c r="F148" s="869"/>
      <c r="G148" s="138">
        <v>0</v>
      </c>
      <c r="H148" s="138">
        <v>0</v>
      </c>
      <c r="K148" s="210" t="s">
        <v>356</v>
      </c>
      <c r="L148" s="244" t="s">
        <v>357</v>
      </c>
      <c r="M148" s="244" t="s">
        <v>73</v>
      </c>
      <c r="N148" s="884" t="s">
        <v>414</v>
      </c>
      <c r="O148" s="869"/>
      <c r="P148" s="138">
        <v>0</v>
      </c>
      <c r="Q148" s="138">
        <v>0</v>
      </c>
      <c r="T148" s="528" t="s">
        <v>356</v>
      </c>
      <c r="U148" s="2" t="s">
        <v>357</v>
      </c>
      <c r="V148" s="2" t="s">
        <v>73</v>
      </c>
      <c r="W148" s="884" t="s">
        <v>414</v>
      </c>
      <c r="X148" s="869"/>
      <c r="Y148" s="529">
        <v>0</v>
      </c>
      <c r="Z148" s="529">
        <v>0</v>
      </c>
      <c r="AA148" s="529">
        <v>0</v>
      </c>
      <c r="AB148" s="530">
        <v>0</v>
      </c>
      <c r="AC148" s="146"/>
      <c r="AD148" s="146"/>
      <c r="AE148" s="146"/>
      <c r="AF148" s="146"/>
      <c r="AG148" s="146"/>
      <c r="AH148" s="146"/>
      <c r="AI148" s="146"/>
      <c r="AJ148" s="146"/>
      <c r="AK148" s="146"/>
      <c r="AL148" s="146"/>
      <c r="AM148" s="146"/>
      <c r="AN148" s="146"/>
    </row>
    <row r="149" spans="1:40" ht="19.5" x14ac:dyDescent="0.25">
      <c r="T149" s="1089" t="s">
        <v>364</v>
      </c>
      <c r="U149" s="1089" t="s">
        <v>154</v>
      </c>
      <c r="V149" s="882" t="s">
        <v>10</v>
      </c>
      <c r="W149" s="854" t="s">
        <v>156</v>
      </c>
      <c r="X149" s="858"/>
      <c r="Y149" s="89" t="s">
        <v>158</v>
      </c>
      <c r="Z149" s="92" t="s">
        <v>159</v>
      </c>
      <c r="AA149" s="89" t="s">
        <v>158</v>
      </c>
      <c r="AB149" s="92" t="s">
        <v>159</v>
      </c>
      <c r="AC149" s="146"/>
      <c r="AD149" s="146"/>
      <c r="AE149" s="146"/>
      <c r="AF149" s="146"/>
      <c r="AG149" s="146"/>
      <c r="AH149" s="146"/>
      <c r="AI149" s="146"/>
      <c r="AJ149" s="146"/>
      <c r="AK149" s="146"/>
      <c r="AL149" s="146"/>
      <c r="AM149" s="146"/>
      <c r="AN149" s="146"/>
    </row>
    <row r="150" spans="1:40" x14ac:dyDescent="0.25">
      <c r="B150" s="383" t="s">
        <v>283</v>
      </c>
      <c r="T150" s="1090"/>
      <c r="U150" s="1090"/>
      <c r="V150" s="1092"/>
      <c r="W150" s="1093">
        <v>0</v>
      </c>
      <c r="X150" s="1094"/>
      <c r="Y150" s="90">
        <f>W80</f>
        <v>2025</v>
      </c>
      <c r="Z150" s="90">
        <f>W80</f>
        <v>2025</v>
      </c>
      <c r="AA150" s="90">
        <f>W80</f>
        <v>2025</v>
      </c>
      <c r="AB150" s="90">
        <f>W80</f>
        <v>2025</v>
      </c>
      <c r="AC150" s="146"/>
      <c r="AD150" s="146"/>
      <c r="AE150" s="146"/>
      <c r="AF150" s="146"/>
      <c r="AG150" s="146"/>
      <c r="AH150" s="146"/>
      <c r="AI150" s="146"/>
      <c r="AJ150" s="146"/>
      <c r="AK150" s="146"/>
      <c r="AL150" s="146"/>
      <c r="AM150" s="146"/>
      <c r="AN150" s="146"/>
    </row>
    <row r="151" spans="1:40" x14ac:dyDescent="0.25">
      <c r="B151" s="383" t="s">
        <v>284</v>
      </c>
      <c r="T151" s="1090"/>
      <c r="U151" s="1090"/>
      <c r="V151" s="1092"/>
      <c r="W151" s="854" t="s">
        <v>157</v>
      </c>
      <c r="X151" s="858"/>
      <c r="Y151" s="91" t="s">
        <v>160</v>
      </c>
      <c r="Z151" s="91" t="s">
        <v>160</v>
      </c>
      <c r="AA151" s="91" t="s">
        <v>161</v>
      </c>
      <c r="AB151" s="91" t="s">
        <v>161</v>
      </c>
      <c r="AC151" s="146"/>
      <c r="AD151" s="146"/>
      <c r="AE151" s="146"/>
      <c r="AF151" s="146"/>
      <c r="AG151" s="146"/>
      <c r="AH151" s="146"/>
      <c r="AI151" s="146"/>
      <c r="AJ151" s="146"/>
      <c r="AK151" s="146"/>
      <c r="AL151" s="146"/>
      <c r="AM151" s="146"/>
      <c r="AN151" s="146"/>
    </row>
    <row r="152" spans="1:40" x14ac:dyDescent="0.25">
      <c r="T152" s="1091"/>
      <c r="U152" s="1091"/>
      <c r="V152" s="883"/>
      <c r="W152" s="1095">
        <v>0</v>
      </c>
      <c r="X152" s="1093"/>
      <c r="Y152" s="464">
        <v>0</v>
      </c>
      <c r="Z152" s="464">
        <v>0</v>
      </c>
      <c r="AA152" s="464">
        <v>0</v>
      </c>
      <c r="AB152" s="464">
        <v>0</v>
      </c>
      <c r="AC152" s="146"/>
      <c r="AD152" s="146"/>
      <c r="AE152" s="146"/>
      <c r="AF152" s="146"/>
      <c r="AG152" s="146"/>
      <c r="AH152" s="146"/>
      <c r="AI152" s="146"/>
      <c r="AJ152" s="146"/>
      <c r="AK152" s="146"/>
      <c r="AL152" s="146"/>
      <c r="AM152" s="146"/>
      <c r="AN152" s="146"/>
    </row>
    <row r="153" spans="1:40" x14ac:dyDescent="0.25">
      <c r="A153" s="252"/>
      <c r="B153" s="29"/>
      <c r="C153" s="29"/>
      <c r="D153" s="29"/>
      <c r="E153" s="29"/>
      <c r="F153" s="29"/>
      <c r="G153" s="29"/>
      <c r="H153" s="29"/>
      <c r="I153" s="29"/>
      <c r="J153" s="29"/>
      <c r="K153" s="29"/>
      <c r="L153" s="29"/>
      <c r="M153" s="29"/>
      <c r="N153" s="29"/>
      <c r="O153" s="29"/>
      <c r="P153" s="29"/>
      <c r="Q153" s="29"/>
      <c r="R153" s="29"/>
      <c r="AC153" s="146"/>
      <c r="AD153" s="146"/>
      <c r="AE153" s="146"/>
      <c r="AF153" s="146"/>
      <c r="AG153" s="338"/>
      <c r="AH153" s="338"/>
    </row>
    <row r="154" spans="1:40" x14ac:dyDescent="0.25">
      <c r="B154" s="899" t="s">
        <v>316</v>
      </c>
      <c r="C154" s="899"/>
      <c r="D154" s="899"/>
      <c r="E154" s="899"/>
      <c r="F154" s="899"/>
      <c r="G154" s="899"/>
      <c r="H154" s="899"/>
      <c r="K154" s="899" t="s">
        <v>317</v>
      </c>
      <c r="L154" s="899"/>
      <c r="M154" s="899"/>
      <c r="N154" s="899"/>
      <c r="O154" s="899"/>
      <c r="P154" s="899"/>
      <c r="Q154" s="899"/>
      <c r="T154" s="899" t="s">
        <v>162</v>
      </c>
      <c r="U154" s="899"/>
      <c r="V154" s="899"/>
      <c r="W154" s="899"/>
      <c r="X154" s="899"/>
      <c r="Y154" s="899"/>
      <c r="Z154" s="899"/>
      <c r="AA154" s="899"/>
      <c r="AB154" s="899"/>
      <c r="AC154" s="146"/>
      <c r="AD154" s="146"/>
      <c r="AE154" s="146"/>
      <c r="AF154" s="146"/>
      <c r="AG154" s="146"/>
      <c r="AH154" s="146"/>
      <c r="AI154" s="146"/>
      <c r="AJ154" s="146"/>
      <c r="AK154" s="146"/>
      <c r="AL154" s="146"/>
      <c r="AM154" s="146"/>
      <c r="AN154" s="146"/>
    </row>
    <row r="155" spans="1:40" x14ac:dyDescent="0.25">
      <c r="C155" s="272"/>
      <c r="E155" s="25"/>
      <c r="F155" s="25"/>
      <c r="L155" s="25"/>
      <c r="N155" s="25"/>
      <c r="T155" s="1079" t="s">
        <v>318</v>
      </c>
      <c r="U155" s="1079"/>
      <c r="V155" s="1079"/>
      <c r="W155" s="1079"/>
      <c r="X155" s="1079"/>
      <c r="Y155" s="1079"/>
      <c r="Z155" s="1079"/>
      <c r="AA155" s="1079"/>
      <c r="AB155" s="1079"/>
      <c r="AC155" s="146"/>
      <c r="AD155" s="146"/>
      <c r="AK155" s="146"/>
      <c r="AL155" s="146"/>
      <c r="AM155" s="146"/>
      <c r="AN155" s="146"/>
    </row>
    <row r="156" spans="1:40" x14ac:dyDescent="0.25">
      <c r="C156" s="272" t="s">
        <v>103</v>
      </c>
      <c r="D156" s="274">
        <f>D80+1</f>
        <v>2026</v>
      </c>
      <c r="E156" s="25"/>
      <c r="F156" s="272" t="s">
        <v>221</v>
      </c>
      <c r="G156" s="275" t="str">
        <f>Výpočty!J$48</f>
        <v>-</v>
      </c>
      <c r="H156" s="275" t="str">
        <f>IF(Výpočty!J$49="-"," ",CONCATENATE("- ",DAY(Výpočty!J$49),".",MONTH(Výpočty!J$49),".",D156))</f>
        <v xml:space="preserve"> </v>
      </c>
      <c r="L156" s="272" t="s">
        <v>103</v>
      </c>
      <c r="M156" s="274">
        <f>D156</f>
        <v>2026</v>
      </c>
      <c r="O156" s="272" t="s">
        <v>221</v>
      </c>
      <c r="P156" s="360" t="str">
        <f>Výpočty!J$44</f>
        <v>-</v>
      </c>
      <c r="Q156" s="360" t="str">
        <f>IF(P156="-"," ",H156)</f>
        <v xml:space="preserve"> </v>
      </c>
      <c r="T156" s="333"/>
      <c r="U156" s="333"/>
      <c r="V156" s="342" t="s">
        <v>147</v>
      </c>
      <c r="W156" s="274">
        <f>D156</f>
        <v>2026</v>
      </c>
      <c r="Z156" s="272" t="s">
        <v>221</v>
      </c>
      <c r="AA156" s="275" t="str">
        <f>G156</f>
        <v>-</v>
      </c>
      <c r="AB156" s="275" t="str">
        <f>H156</f>
        <v xml:space="preserve"> </v>
      </c>
      <c r="AC156" s="146"/>
      <c r="AD156" s="146"/>
      <c r="AK156" s="146"/>
      <c r="AL156" s="146"/>
      <c r="AM156" s="146"/>
      <c r="AN156" s="146"/>
    </row>
    <row r="157" spans="1:40" x14ac:dyDescent="0.25">
      <c r="B157" s="13" t="s">
        <v>66</v>
      </c>
      <c r="C157" s="13" t="s">
        <v>89</v>
      </c>
      <c r="D157" s="1061" t="str">
        <f t="shared" ref="D157:D162" si="17">D81</f>
        <v>PRVOK s.r.o., IČ 281 28 257</v>
      </c>
      <c r="E157" s="1110"/>
      <c r="F157" s="1110"/>
      <c r="G157" s="1110"/>
      <c r="H157" s="1111"/>
      <c r="K157" s="13" t="s">
        <v>66</v>
      </c>
      <c r="L157" s="13" t="s">
        <v>89</v>
      </c>
      <c r="M157" s="1061" t="str">
        <f>D157</f>
        <v>PRVOK s.r.o., IČ 281 28 257</v>
      </c>
      <c r="N157" s="1110"/>
      <c r="O157" s="1110"/>
      <c r="P157" s="1110"/>
      <c r="Q157" s="1111"/>
      <c r="T157" s="13" t="s">
        <v>66</v>
      </c>
      <c r="U157" s="13" t="s">
        <v>89</v>
      </c>
      <c r="V157" s="1061" t="str">
        <f>D157</f>
        <v>PRVOK s.r.o., IČ 281 28 257</v>
      </c>
      <c r="W157" s="1110"/>
      <c r="X157" s="1110"/>
      <c r="Y157" s="1110"/>
      <c r="Z157" s="1110"/>
      <c r="AA157" s="1110"/>
      <c r="AB157" s="1111"/>
      <c r="AC157" s="146"/>
      <c r="AD157" s="146"/>
      <c r="AK157" s="146"/>
      <c r="AL157" s="146"/>
      <c r="AM157" s="146"/>
      <c r="AN157" s="146"/>
    </row>
    <row r="158" spans="1:40" x14ac:dyDescent="0.25">
      <c r="B158" s="13" t="s">
        <v>84</v>
      </c>
      <c r="C158" s="13" t="s">
        <v>90</v>
      </c>
      <c r="D158" s="1061" t="str">
        <f t="shared" si="17"/>
        <v>PRVOK s.r.o., IČ 281 28 257</v>
      </c>
      <c r="E158" s="1110"/>
      <c r="F158" s="1110"/>
      <c r="G158" s="1110"/>
      <c r="H158" s="1111"/>
      <c r="K158" s="13" t="s">
        <v>84</v>
      </c>
      <c r="L158" s="13" t="s">
        <v>90</v>
      </c>
      <c r="M158" s="1061" t="str">
        <f>D158</f>
        <v>PRVOK s.r.o., IČ 281 28 257</v>
      </c>
      <c r="N158" s="1110"/>
      <c r="O158" s="1110"/>
      <c r="P158" s="1110"/>
      <c r="Q158" s="1111"/>
      <c r="T158" s="13" t="s">
        <v>84</v>
      </c>
      <c r="U158" s="13" t="s">
        <v>90</v>
      </c>
      <c r="V158" s="1061" t="str">
        <f>D158</f>
        <v>PRVOK s.r.o., IČ 281 28 257</v>
      </c>
      <c r="W158" s="1110"/>
      <c r="X158" s="1110"/>
      <c r="Y158" s="1110"/>
      <c r="Z158" s="1110"/>
      <c r="AA158" s="1110"/>
      <c r="AB158" s="1111"/>
      <c r="AC158" s="146"/>
      <c r="AD158" s="146"/>
      <c r="AK158" s="146"/>
      <c r="AL158" s="146"/>
      <c r="AM158" s="146"/>
      <c r="AN158" s="146"/>
    </row>
    <row r="159" spans="1:40" x14ac:dyDescent="0.25">
      <c r="B159" s="13" t="s">
        <v>85</v>
      </c>
      <c r="C159" s="13" t="s">
        <v>91</v>
      </c>
      <c r="D159" s="1061" t="str">
        <f t="shared" si="17"/>
        <v>Obec Benešov nad Černou, IČ 00245780</v>
      </c>
      <c r="E159" s="1110"/>
      <c r="F159" s="1110"/>
      <c r="G159" s="1110"/>
      <c r="H159" s="1111"/>
      <c r="K159" s="13" t="s">
        <v>85</v>
      </c>
      <c r="L159" s="13" t="s">
        <v>91</v>
      </c>
      <c r="M159" s="1061" t="str">
        <f>D159</f>
        <v>Obec Benešov nad Černou, IČ 00245780</v>
      </c>
      <c r="N159" s="1110"/>
      <c r="O159" s="1110"/>
      <c r="P159" s="1110"/>
      <c r="Q159" s="1111"/>
      <c r="T159" s="13" t="s">
        <v>85</v>
      </c>
      <c r="U159" s="13" t="s">
        <v>91</v>
      </c>
      <c r="V159" s="1061" t="str">
        <f>D159</f>
        <v>Obec Benešov nad Černou, IČ 00245780</v>
      </c>
      <c r="W159" s="1110"/>
      <c r="X159" s="1110"/>
      <c r="Y159" s="1110"/>
      <c r="Z159" s="1110"/>
      <c r="AA159" s="1110"/>
      <c r="AB159" s="1111"/>
      <c r="AC159" s="146"/>
      <c r="AD159" s="146"/>
      <c r="AK159" s="146"/>
      <c r="AL159" s="146"/>
      <c r="AM159" s="146"/>
      <c r="AN159" s="146"/>
    </row>
    <row r="160" spans="1:40" x14ac:dyDescent="0.25">
      <c r="B160" s="13" t="s">
        <v>86</v>
      </c>
      <c r="C160" s="13" t="s">
        <v>93</v>
      </c>
      <c r="D160" s="1103" t="str">
        <f t="shared" si="17"/>
        <v>A</v>
      </c>
      <c r="E160" s="1104"/>
      <c r="F160" s="1104"/>
      <c r="G160" s="1104"/>
      <c r="H160" s="1105"/>
      <c r="K160" s="13" t="s">
        <v>86</v>
      </c>
      <c r="L160" s="13" t="s">
        <v>93</v>
      </c>
      <c r="M160" s="1058" t="str">
        <f>IF($D160="[vyplnit]"," ",$D160)</f>
        <v>A</v>
      </c>
      <c r="N160" s="1059"/>
      <c r="O160" s="1059"/>
      <c r="P160" s="1059"/>
      <c r="Q160" s="1060"/>
      <c r="T160" s="13" t="s">
        <v>86</v>
      </c>
      <c r="U160" s="13" t="s">
        <v>93</v>
      </c>
      <c r="V160" s="1106" t="str">
        <f>IF($D160="[vyplnit]"," ",$D160)</f>
        <v>A</v>
      </c>
      <c r="W160" s="1107"/>
      <c r="X160" s="1107"/>
      <c r="Y160" s="1107"/>
      <c r="Z160" s="1107"/>
      <c r="AA160" s="1107"/>
      <c r="AB160" s="1108"/>
      <c r="AC160" s="146"/>
      <c r="AD160" s="146"/>
      <c r="AK160" s="146"/>
      <c r="AL160" s="146"/>
      <c r="AM160" s="146"/>
      <c r="AN160" s="146"/>
    </row>
    <row r="161" spans="2:40" x14ac:dyDescent="0.25">
      <c r="B161" s="13" t="s">
        <v>87</v>
      </c>
      <c r="C161" s="13" t="s">
        <v>92</v>
      </c>
      <c r="D161" s="1103">
        <f t="shared" si="17"/>
        <v>1</v>
      </c>
      <c r="E161" s="1104"/>
      <c r="F161" s="1104"/>
      <c r="G161" s="1104"/>
      <c r="H161" s="1105"/>
      <c r="K161" s="13" t="s">
        <v>87</v>
      </c>
      <c r="L161" s="13" t="s">
        <v>92</v>
      </c>
      <c r="M161" s="1058">
        <f>IF($D161="[vyplnit]"," ",$D161)</f>
        <v>1</v>
      </c>
      <c r="N161" s="1059"/>
      <c r="O161" s="1059"/>
      <c r="P161" s="1059"/>
      <c r="Q161" s="1060"/>
      <c r="T161" s="13" t="s">
        <v>87</v>
      </c>
      <c r="U161" s="13" t="s">
        <v>92</v>
      </c>
      <c r="V161" s="1106">
        <f>IF($D161="[vyplnit]"," ",$D161)</f>
        <v>1</v>
      </c>
      <c r="W161" s="1107"/>
      <c r="X161" s="1107"/>
      <c r="Y161" s="1107"/>
      <c r="Z161" s="1107"/>
      <c r="AA161" s="1107"/>
      <c r="AB161" s="1108"/>
      <c r="AC161" s="146"/>
      <c r="AD161" s="146"/>
      <c r="AK161" s="146"/>
      <c r="AL161" s="146"/>
      <c r="AM161" s="146"/>
      <c r="AN161" s="146"/>
    </row>
    <row r="162" spans="2:40" x14ac:dyDescent="0.25">
      <c r="B162" s="13" t="s">
        <v>88</v>
      </c>
      <c r="C162" s="13" t="s">
        <v>94</v>
      </c>
      <c r="D162" s="1103" t="str">
        <f t="shared" si="17"/>
        <v>[vyplnit]</v>
      </c>
      <c r="E162" s="1104"/>
      <c r="F162" s="1104"/>
      <c r="G162" s="1104"/>
      <c r="H162" s="1105"/>
      <c r="K162" s="13" t="s">
        <v>88</v>
      </c>
      <c r="L162" s="13" t="s">
        <v>94</v>
      </c>
      <c r="M162" s="1058" t="str">
        <f>IF($D162="[vyplnit]"," ",$D162)</f>
        <v xml:space="preserve"> </v>
      </c>
      <c r="N162" s="1059"/>
      <c r="O162" s="1059"/>
      <c r="P162" s="1059"/>
      <c r="Q162" s="1060"/>
      <c r="T162" s="13" t="s">
        <v>88</v>
      </c>
      <c r="U162" s="13" t="s">
        <v>94</v>
      </c>
      <c r="V162" s="1106" t="str">
        <f>IF($D162="[vyplnit]"," ",$D162)</f>
        <v xml:space="preserve"> </v>
      </c>
      <c r="W162" s="1107"/>
      <c r="X162" s="1107"/>
      <c r="Y162" s="1107"/>
      <c r="Z162" s="1107"/>
      <c r="AA162" s="1107"/>
      <c r="AB162" s="1108"/>
      <c r="AC162" s="146"/>
      <c r="AD162" s="146"/>
      <c r="AK162" s="146"/>
      <c r="AL162" s="146"/>
      <c r="AM162" s="146"/>
      <c r="AN162" s="146"/>
    </row>
    <row r="163" spans="2:40" x14ac:dyDescent="0.25">
      <c r="AC163" s="146"/>
      <c r="AK163" s="146"/>
      <c r="AL163" s="146"/>
      <c r="AM163" s="146"/>
      <c r="AN163" s="146"/>
    </row>
    <row r="164" spans="2:40" x14ac:dyDescent="0.25">
      <c r="B164" s="1052" t="s">
        <v>5</v>
      </c>
      <c r="C164" s="884" t="s">
        <v>0</v>
      </c>
      <c r="D164" s="868"/>
      <c r="E164" s="868"/>
      <c r="F164" s="868"/>
      <c r="G164" s="868"/>
      <c r="H164" s="869"/>
      <c r="K164" s="1052" t="s">
        <v>5</v>
      </c>
      <c r="L164" s="884" t="s">
        <v>0</v>
      </c>
      <c r="M164" s="868"/>
      <c r="N164" s="868"/>
      <c r="O164" s="868"/>
      <c r="P164" s="868"/>
      <c r="Q164" s="869"/>
      <c r="T164" s="1052" t="s">
        <v>5</v>
      </c>
      <c r="U164" s="884" t="s">
        <v>0</v>
      </c>
      <c r="V164" s="868"/>
      <c r="W164" s="868"/>
      <c r="X164" s="868"/>
      <c r="Y164" s="868"/>
      <c r="Z164" s="868"/>
      <c r="AA164" s="868"/>
      <c r="AB164" s="869"/>
      <c r="AC164" s="146"/>
      <c r="AK164" s="146"/>
      <c r="AL164" s="146"/>
      <c r="AM164" s="146"/>
      <c r="AN164" s="146"/>
    </row>
    <row r="165" spans="2:40" ht="15" customHeight="1" x14ac:dyDescent="0.25">
      <c r="B165" s="1053"/>
      <c r="C165" s="1052" t="s">
        <v>1</v>
      </c>
      <c r="D165" s="1065" t="s">
        <v>133</v>
      </c>
      <c r="E165" s="884" t="s">
        <v>3</v>
      </c>
      <c r="F165" s="869"/>
      <c r="G165" s="884" t="s">
        <v>4</v>
      </c>
      <c r="H165" s="869"/>
      <c r="K165" s="1053"/>
      <c r="L165" s="1052" t="s">
        <v>1</v>
      </c>
      <c r="M165" s="1065" t="s">
        <v>133</v>
      </c>
      <c r="N165" s="884" t="s">
        <v>3</v>
      </c>
      <c r="O165" s="869"/>
      <c r="P165" s="884" t="s">
        <v>4</v>
      </c>
      <c r="Q165" s="869"/>
      <c r="T165" s="1053"/>
      <c r="U165" s="1052" t="s">
        <v>1</v>
      </c>
      <c r="V165" s="1065" t="s">
        <v>133</v>
      </c>
      <c r="W165" s="884" t="s">
        <v>3</v>
      </c>
      <c r="X165" s="868"/>
      <c r="Y165" s="869"/>
      <c r="Z165" s="884" t="s">
        <v>4</v>
      </c>
      <c r="AA165" s="868"/>
      <c r="AB165" s="869"/>
      <c r="AC165" s="146"/>
      <c r="AK165" s="146"/>
      <c r="AL165" s="146"/>
      <c r="AM165" s="146"/>
      <c r="AN165" s="146"/>
    </row>
    <row r="166" spans="2:40" x14ac:dyDescent="0.25">
      <c r="B166" s="1053"/>
      <c r="C166" s="1053"/>
      <c r="D166" s="1109"/>
      <c r="E166" s="28">
        <f>D156-1</f>
        <v>2025</v>
      </c>
      <c r="F166" s="28">
        <f>D156</f>
        <v>2026</v>
      </c>
      <c r="G166" s="28">
        <f>D156-1</f>
        <v>2025</v>
      </c>
      <c r="H166" s="28">
        <f>D156</f>
        <v>2026</v>
      </c>
      <c r="K166" s="1053"/>
      <c r="L166" s="1053"/>
      <c r="M166" s="1109"/>
      <c r="N166" s="28">
        <f>M156-1</f>
        <v>2025</v>
      </c>
      <c r="O166" s="28">
        <f>M156</f>
        <v>2026</v>
      </c>
      <c r="P166" s="28">
        <f>M156-1</f>
        <v>2025</v>
      </c>
      <c r="Q166" s="28">
        <f>M156</f>
        <v>2026</v>
      </c>
      <c r="T166" s="1053"/>
      <c r="U166" s="1053"/>
      <c r="V166" s="1109"/>
      <c r="W166" s="28">
        <f>W156</f>
        <v>2026</v>
      </c>
      <c r="X166" s="28">
        <f>W156</f>
        <v>2026</v>
      </c>
      <c r="Y166" s="28">
        <f>W156</f>
        <v>2026</v>
      </c>
      <c r="Z166" s="28">
        <f>W156</f>
        <v>2026</v>
      </c>
      <c r="AA166" s="28">
        <f>W156</f>
        <v>2026</v>
      </c>
      <c r="AB166" s="28">
        <f>W156</f>
        <v>2026</v>
      </c>
      <c r="AC166" s="146"/>
      <c r="AK166" s="146"/>
      <c r="AL166" s="146"/>
      <c r="AM166" s="146"/>
      <c r="AN166" s="146"/>
    </row>
    <row r="167" spans="2:40" x14ac:dyDescent="0.25">
      <c r="B167" s="1054"/>
      <c r="C167" s="1054"/>
      <c r="D167" s="1084"/>
      <c r="E167" s="7" t="s">
        <v>151</v>
      </c>
      <c r="F167" s="7" t="s">
        <v>98</v>
      </c>
      <c r="G167" s="7" t="s">
        <v>151</v>
      </c>
      <c r="H167" s="19" t="s">
        <v>98</v>
      </c>
      <c r="K167" s="1054"/>
      <c r="L167" s="1054"/>
      <c r="M167" s="1084"/>
      <c r="N167" s="7" t="s">
        <v>151</v>
      </c>
      <c r="O167" s="7" t="s">
        <v>98</v>
      </c>
      <c r="P167" s="7" t="s">
        <v>151</v>
      </c>
      <c r="Q167" s="19" t="s">
        <v>98</v>
      </c>
      <c r="T167" s="1054"/>
      <c r="U167" s="1054"/>
      <c r="V167" s="1084"/>
      <c r="W167" s="7" t="s">
        <v>150</v>
      </c>
      <c r="X167" s="7" t="s">
        <v>98</v>
      </c>
      <c r="Y167" s="7" t="s">
        <v>149</v>
      </c>
      <c r="Z167" s="7" t="s">
        <v>150</v>
      </c>
      <c r="AA167" s="7" t="s">
        <v>98</v>
      </c>
      <c r="AB167" s="19" t="s">
        <v>149</v>
      </c>
      <c r="AC167" s="146"/>
      <c r="AK167" s="146"/>
      <c r="AL167" s="146"/>
      <c r="AM167" s="146"/>
      <c r="AN167" s="146"/>
    </row>
    <row r="168" spans="2:40" x14ac:dyDescent="0.25">
      <c r="B168" s="11">
        <v>1</v>
      </c>
      <c r="C168" s="11">
        <v>2</v>
      </c>
      <c r="D168" s="11" t="s">
        <v>95</v>
      </c>
      <c r="E168" s="11">
        <v>3</v>
      </c>
      <c r="F168" s="11">
        <v>4</v>
      </c>
      <c r="G168" s="11">
        <v>6</v>
      </c>
      <c r="H168" s="22">
        <v>7</v>
      </c>
      <c r="K168" s="11">
        <v>1</v>
      </c>
      <c r="L168" s="11">
        <v>2</v>
      </c>
      <c r="M168" s="11" t="s">
        <v>95</v>
      </c>
      <c r="N168" s="11">
        <v>3</v>
      </c>
      <c r="O168" s="11">
        <v>4</v>
      </c>
      <c r="P168" s="11">
        <v>6</v>
      </c>
      <c r="Q168" s="22">
        <v>7</v>
      </c>
      <c r="T168" s="11">
        <v>1</v>
      </c>
      <c r="U168" s="11">
        <v>2</v>
      </c>
      <c r="V168" s="11" t="s">
        <v>95</v>
      </c>
      <c r="W168" s="11">
        <v>3</v>
      </c>
      <c r="X168" s="11">
        <v>4</v>
      </c>
      <c r="Y168" s="11">
        <v>5</v>
      </c>
      <c r="Z168" s="11">
        <v>6</v>
      </c>
      <c r="AA168" s="11">
        <v>7</v>
      </c>
      <c r="AB168" s="22">
        <v>8</v>
      </c>
      <c r="AC168" s="146"/>
      <c r="AK168" s="146"/>
      <c r="AL168" s="146"/>
      <c r="AM168" s="146"/>
      <c r="AN168" s="146"/>
    </row>
    <row r="169" spans="2:40" x14ac:dyDescent="0.25">
      <c r="B169" s="9" t="s">
        <v>8</v>
      </c>
      <c r="C169" s="10" t="s">
        <v>9</v>
      </c>
      <c r="D169" s="11" t="s">
        <v>10</v>
      </c>
      <c r="E169" s="41">
        <f>SUM(E170:E173)</f>
        <v>0</v>
      </c>
      <c r="F169" s="41">
        <f>SUM(F170:F173)</f>
        <v>0</v>
      </c>
      <c r="G169" s="41">
        <f>SUM(G170:G173)</f>
        <v>0</v>
      </c>
      <c r="H169" s="86">
        <f>SUM(H170:H173)</f>
        <v>0</v>
      </c>
      <c r="K169" s="9" t="s">
        <v>8</v>
      </c>
      <c r="L169" s="10" t="s">
        <v>9</v>
      </c>
      <c r="M169" s="11" t="s">
        <v>10</v>
      </c>
      <c r="N169" s="41">
        <f>SUM(N170:N173)</f>
        <v>0</v>
      </c>
      <c r="O169" s="41">
        <f>SUM(O170:O173)</f>
        <v>0</v>
      </c>
      <c r="P169" s="41">
        <f>SUM(P170:P173)</f>
        <v>0</v>
      </c>
      <c r="Q169" s="86">
        <f>SUM(Q170:Q173)</f>
        <v>0</v>
      </c>
      <c r="T169" s="9" t="s">
        <v>8</v>
      </c>
      <c r="U169" s="10" t="s">
        <v>9</v>
      </c>
      <c r="V169" s="11" t="s">
        <v>10</v>
      </c>
      <c r="W169" s="86">
        <f t="shared" ref="W169:AB169" si="18">SUM(W170:W173)</f>
        <v>0</v>
      </c>
      <c r="X169" s="86">
        <f t="shared" si="18"/>
        <v>0</v>
      </c>
      <c r="Y169" s="86">
        <f t="shared" si="18"/>
        <v>0</v>
      </c>
      <c r="Z169" s="86">
        <f t="shared" si="18"/>
        <v>0</v>
      </c>
      <c r="AA169" s="86">
        <f t="shared" si="18"/>
        <v>0</v>
      </c>
      <c r="AB169" s="86">
        <f t="shared" si="18"/>
        <v>0</v>
      </c>
      <c r="AC169" s="146"/>
      <c r="AK169" s="146"/>
      <c r="AL169" s="146"/>
      <c r="AM169" s="146"/>
      <c r="AN169" s="146"/>
    </row>
    <row r="170" spans="2:40" x14ac:dyDescent="0.25">
      <c r="B170" s="12" t="s">
        <v>11</v>
      </c>
      <c r="C170" s="13" t="s">
        <v>12</v>
      </c>
      <c r="D170" s="3" t="s">
        <v>10</v>
      </c>
      <c r="E170" s="44">
        <v>0</v>
      </c>
      <c r="F170" s="44">
        <f>IF(YEAR(Postup!$H$25)&gt;$D$156,Provozování!T23,IF(AND(DAY(Postup!$H$25)=31,MONTH(Postup!$H$25)=12,YEAR(Postup!$H$25)=$D$156),Provozování!T23,IF(YEAR(Postup!$H$25)=$D$156,Provozování!$BL23,0)))</f>
        <v>0</v>
      </c>
      <c r="G170" s="44">
        <v>0</v>
      </c>
      <c r="H170" s="334">
        <v>0</v>
      </c>
      <c r="K170" s="12" t="s">
        <v>11</v>
      </c>
      <c r="L170" s="13" t="s">
        <v>12</v>
      </c>
      <c r="M170" s="3" t="s">
        <v>10</v>
      </c>
      <c r="N170" s="44">
        <v>0</v>
      </c>
      <c r="O170" s="44">
        <f>IF(Provozování!$V$16="Neaktivní",0,Provozování!V23)</f>
        <v>0</v>
      </c>
      <c r="P170" s="44">
        <v>0</v>
      </c>
      <c r="Q170" s="334">
        <v>0</v>
      </c>
      <c r="T170" s="12" t="s">
        <v>11</v>
      </c>
      <c r="U170" s="13" t="s">
        <v>12</v>
      </c>
      <c r="V170" s="3" t="s">
        <v>10</v>
      </c>
      <c r="W170" s="462">
        <v>0</v>
      </c>
      <c r="X170" s="44">
        <f>IF(Provozování!$V$16="Neaktivní",F170,O170)</f>
        <v>0</v>
      </c>
      <c r="Y170" s="44">
        <f>W170-X170</f>
        <v>0</v>
      </c>
      <c r="Z170" s="337">
        <v>0</v>
      </c>
      <c r="AA170" s="337">
        <v>0</v>
      </c>
      <c r="AB170" s="334">
        <v>0</v>
      </c>
      <c r="AC170" s="146"/>
      <c r="AK170" s="146"/>
      <c r="AL170" s="146"/>
      <c r="AM170" s="146"/>
      <c r="AN170" s="146"/>
    </row>
    <row r="171" spans="2:40" x14ac:dyDescent="0.25">
      <c r="B171" s="12" t="s">
        <v>13</v>
      </c>
      <c r="C171" s="12" t="s">
        <v>14</v>
      </c>
      <c r="D171" s="3" t="s">
        <v>10</v>
      </c>
      <c r="E171" s="52">
        <v>0</v>
      </c>
      <c r="F171" s="44">
        <f>IF(YEAR(Postup!$H$25)&gt;$D$156,Provozování!T24,IF(AND(DAY(Postup!$H$25)=31,MONTH(Postup!$H$25)=12,YEAR(Postup!$H$25)=$D$156),Provozování!T24,IF(YEAR(Postup!$H$25)=$D$156,Provozování!$BL24,0)))</f>
        <v>0</v>
      </c>
      <c r="G171" s="52">
        <v>0</v>
      </c>
      <c r="H171" s="30">
        <f>IF(YEAR(Postup!$H$25)&gt;$D$156,Provozování!U24,IF(AND(DAY(Postup!$H$25)=31,MONTH(Postup!$H$25)=12,YEAR(Postup!$H$25)=$D$156),Provozování!U24,IF(YEAR(Postup!$H$25)=$D$156,Provozování!$BM24,0)))</f>
        <v>0</v>
      </c>
      <c r="K171" s="12" t="s">
        <v>13</v>
      </c>
      <c r="L171" s="12" t="s">
        <v>14</v>
      </c>
      <c r="M171" s="3" t="s">
        <v>10</v>
      </c>
      <c r="N171" s="52">
        <v>0</v>
      </c>
      <c r="O171" s="44">
        <f>IF(Provozování!$V$16="Neaktivní",0,Provozování!V24)</f>
        <v>0</v>
      </c>
      <c r="P171" s="52">
        <v>0</v>
      </c>
      <c r="Q171" s="53">
        <f>IF(Provozování!$V$16="Neaktivní",0,Provozování!W24)</f>
        <v>0</v>
      </c>
      <c r="T171" s="12" t="s">
        <v>13</v>
      </c>
      <c r="U171" s="12" t="s">
        <v>14</v>
      </c>
      <c r="V171" s="3" t="s">
        <v>10</v>
      </c>
      <c r="W171" s="463">
        <v>0</v>
      </c>
      <c r="X171" s="44">
        <f>IF(Provozování!$V$16="Neaktivní",F171,O171)</f>
        <v>0</v>
      </c>
      <c r="Y171" s="44">
        <f>W171-X171</f>
        <v>0</v>
      </c>
      <c r="Z171" s="463">
        <v>0</v>
      </c>
      <c r="AA171" s="44">
        <f>IF(Provozování!$V$16="Neaktivní",H171,Q171)</f>
        <v>0</v>
      </c>
      <c r="AB171" s="30">
        <f>Z171-AA171</f>
        <v>0</v>
      </c>
      <c r="AC171" s="146"/>
      <c r="AK171" s="146"/>
      <c r="AL171" s="146"/>
      <c r="AM171" s="146"/>
      <c r="AN171" s="146"/>
    </row>
    <row r="172" spans="2:40" x14ac:dyDescent="0.25">
      <c r="B172" s="12" t="s">
        <v>15</v>
      </c>
      <c r="C172" s="13" t="s">
        <v>16</v>
      </c>
      <c r="D172" s="3" t="s">
        <v>10</v>
      </c>
      <c r="E172" s="30">
        <v>0</v>
      </c>
      <c r="F172" s="456">
        <f>IF(YEAR(Postup!$H$25)&gt;$D$156,Provozování!T25,IF(AND(DAY(Postup!$H$25)=31,MONTH(Postup!$H$25)=12,YEAR(Postup!$H$25)=$D$156),Provozování!T25,IF(YEAR(Postup!$H$25)=$D$156,Provozování!$BL25,0)))</f>
        <v>0</v>
      </c>
      <c r="G172" s="30">
        <v>0</v>
      </c>
      <c r="H172" s="457">
        <f>IF(YEAR(Postup!$H$25)&gt;$D$156,Provozování!U25,IF(AND(DAY(Postup!$H$25)=31,MONTH(Postup!$H$25)=12,YEAR(Postup!$H$25)=$D$156),Provozování!U25,IF(YEAR(Postup!$H$25)=$D$156,Provozování!$BM25,0)))</f>
        <v>0</v>
      </c>
      <c r="K172" s="12" t="s">
        <v>15</v>
      </c>
      <c r="L172" s="13" t="s">
        <v>16</v>
      </c>
      <c r="M172" s="3" t="s">
        <v>10</v>
      </c>
      <c r="N172" s="30">
        <v>0</v>
      </c>
      <c r="O172" s="456">
        <f>IF(Provozování!$V$16="Neaktivní",0,Provozování!V25)</f>
        <v>0</v>
      </c>
      <c r="P172" s="30">
        <v>0</v>
      </c>
      <c r="Q172" s="457">
        <f>IF(Provozování!$V$16="Neaktivní",0,Provozování!W25)</f>
        <v>0</v>
      </c>
      <c r="T172" s="12" t="s">
        <v>15</v>
      </c>
      <c r="U172" s="13" t="s">
        <v>16</v>
      </c>
      <c r="V172" s="3" t="s">
        <v>10</v>
      </c>
      <c r="W172" s="464">
        <v>0</v>
      </c>
      <c r="X172" s="44">
        <f>IF(Provozování!$V$16="Neaktivní",F172,O172)</f>
        <v>0</v>
      </c>
      <c r="Y172" s="44">
        <f>W172-X172</f>
        <v>0</v>
      </c>
      <c r="Z172" s="464">
        <v>0</v>
      </c>
      <c r="AA172" s="44">
        <f>IF(Provozování!$V$16="Neaktivní",H172,Q172)</f>
        <v>0</v>
      </c>
      <c r="AB172" s="30">
        <f>Z172-AA172</f>
        <v>0</v>
      </c>
      <c r="AC172" s="146"/>
      <c r="AK172" s="146"/>
      <c r="AL172" s="146"/>
      <c r="AM172" s="146"/>
      <c r="AN172" s="146"/>
    </row>
    <row r="173" spans="2:40" x14ac:dyDescent="0.25">
      <c r="B173" s="12" t="s">
        <v>17</v>
      </c>
      <c r="C173" s="13" t="s">
        <v>18</v>
      </c>
      <c r="D173" s="3" t="s">
        <v>10</v>
      </c>
      <c r="E173" s="87">
        <v>0</v>
      </c>
      <c r="F173" s="456">
        <f>IF(YEAR(Postup!$H$25)&gt;$D$156,Provozování!T26,IF(AND(DAY(Postup!$H$25)=31,MONTH(Postup!$H$25)=12,YEAR(Postup!$H$25)=$D$156),Provozování!T26,IF(YEAR(Postup!$H$25)=$D$156,Provozování!$BL26,0)))</f>
        <v>0</v>
      </c>
      <c r="G173" s="87">
        <v>0</v>
      </c>
      <c r="H173" s="457">
        <f>IF(YEAR(Postup!$H$25)&gt;$D$156,Provozování!U26,IF(AND(DAY(Postup!$H$25)=31,MONTH(Postup!$H$25)=12,YEAR(Postup!$H$25)=$D$156),Provozování!U26,IF(YEAR(Postup!$H$25)=$D$156,Provozování!$BM26,0)))</f>
        <v>0</v>
      </c>
      <c r="K173" s="12" t="s">
        <v>17</v>
      </c>
      <c r="L173" s="13" t="s">
        <v>18</v>
      </c>
      <c r="M173" s="3" t="s">
        <v>10</v>
      </c>
      <c r="N173" s="87">
        <v>0</v>
      </c>
      <c r="O173" s="456">
        <f>IF(Provozování!$V$16="Neaktivní",0,Provozování!V26)</f>
        <v>0</v>
      </c>
      <c r="P173" s="87">
        <v>0</v>
      </c>
      <c r="Q173" s="457">
        <f>IF(Provozování!$V$16="Neaktivní",0,Provozování!W26)</f>
        <v>0</v>
      </c>
      <c r="T173" s="12" t="s">
        <v>17</v>
      </c>
      <c r="U173" s="13" t="s">
        <v>18</v>
      </c>
      <c r="V173" s="3" t="s">
        <v>10</v>
      </c>
      <c r="W173" s="465">
        <v>0</v>
      </c>
      <c r="X173" s="44">
        <f>IF(Provozování!$V$16="Neaktivní",F173,O173)</f>
        <v>0</v>
      </c>
      <c r="Y173" s="44">
        <f>W173-X173</f>
        <v>0</v>
      </c>
      <c r="Z173" s="465">
        <v>0</v>
      </c>
      <c r="AA173" s="44">
        <f>IF(Provozování!$V$16="Neaktivní",H173,Q173)</f>
        <v>0</v>
      </c>
      <c r="AB173" s="30">
        <f>Z173-AA173</f>
        <v>0</v>
      </c>
      <c r="AC173" s="146"/>
      <c r="AK173" s="146"/>
      <c r="AL173" s="146"/>
      <c r="AM173" s="146"/>
      <c r="AN173" s="146"/>
    </row>
    <row r="174" spans="2:40" x14ac:dyDescent="0.25">
      <c r="B174" s="9" t="s">
        <v>19</v>
      </c>
      <c r="C174" s="10" t="s">
        <v>20</v>
      </c>
      <c r="D174" s="11" t="s">
        <v>10</v>
      </c>
      <c r="E174" s="88">
        <f>SUM(E175:E176)</f>
        <v>0</v>
      </c>
      <c r="F174" s="88">
        <f>SUM(F175:F176)</f>
        <v>0</v>
      </c>
      <c r="G174" s="88">
        <f>SUM(G175:G176)</f>
        <v>0</v>
      </c>
      <c r="H174" s="86">
        <f>SUM(H175:H176)</f>
        <v>0</v>
      </c>
      <c r="K174" s="9" t="s">
        <v>19</v>
      </c>
      <c r="L174" s="10" t="s">
        <v>20</v>
      </c>
      <c r="M174" s="11" t="s">
        <v>10</v>
      </c>
      <c r="N174" s="88">
        <f>SUM(N175:N176)</f>
        <v>0</v>
      </c>
      <c r="O174" s="88">
        <f>SUM(O175:O176)</f>
        <v>0</v>
      </c>
      <c r="P174" s="88">
        <f>SUM(P175:P176)</f>
        <v>0</v>
      </c>
      <c r="Q174" s="86">
        <f>SUM(Q175:Q176)</f>
        <v>0</v>
      </c>
      <c r="T174" s="9" t="s">
        <v>19</v>
      </c>
      <c r="U174" s="10" t="s">
        <v>20</v>
      </c>
      <c r="V174" s="11" t="s">
        <v>10</v>
      </c>
      <c r="W174" s="86">
        <f t="shared" ref="W174:AB174" si="19">SUM(W175:W176)</f>
        <v>0</v>
      </c>
      <c r="X174" s="86">
        <f t="shared" si="19"/>
        <v>0</v>
      </c>
      <c r="Y174" s="86">
        <f t="shared" si="19"/>
        <v>0</v>
      </c>
      <c r="Z174" s="86">
        <f t="shared" si="19"/>
        <v>0</v>
      </c>
      <c r="AA174" s="86">
        <f t="shared" si="19"/>
        <v>0</v>
      </c>
      <c r="AB174" s="86">
        <f t="shared" si="19"/>
        <v>0</v>
      </c>
      <c r="AC174" s="146"/>
      <c r="AK174" s="146"/>
      <c r="AL174" s="146"/>
      <c r="AM174" s="146"/>
      <c r="AN174" s="146"/>
    </row>
    <row r="175" spans="2:40" x14ac:dyDescent="0.25">
      <c r="B175" s="12" t="s">
        <v>21</v>
      </c>
      <c r="C175" s="12" t="s">
        <v>22</v>
      </c>
      <c r="D175" s="3" t="s">
        <v>10</v>
      </c>
      <c r="E175" s="30">
        <v>0</v>
      </c>
      <c r="F175" s="456">
        <f>IF(YEAR(Postup!$H$25)&gt;$D$156,Provozování!T28,IF(AND(DAY(Postup!$H$25)=31,MONTH(Postup!$H$25)=12,YEAR(Postup!$H$25)=$D$156),Provozování!T28,IF(YEAR(Postup!$H$25)=$D$156,Provozování!$BL28,0)))</f>
        <v>0</v>
      </c>
      <c r="G175" s="30">
        <v>0</v>
      </c>
      <c r="H175" s="457">
        <f>IF(YEAR(Postup!$H$25)&gt;$D$156,Provozování!U28,IF(AND(DAY(Postup!$H$25)=31,MONTH(Postup!$H$25)=12,YEAR(Postup!$H$25)=$D$156),Provozování!U28,IF(YEAR(Postup!$H$25)=$D$156,Provozování!$BM28,0)))</f>
        <v>0</v>
      </c>
      <c r="K175" s="12" t="s">
        <v>21</v>
      </c>
      <c r="L175" s="12" t="s">
        <v>22</v>
      </c>
      <c r="M175" s="3" t="s">
        <v>10</v>
      </c>
      <c r="N175" s="30">
        <v>0</v>
      </c>
      <c r="O175" s="456">
        <f>IF(Provozování!$V$16="Neaktivní",0,Provozování!V28)</f>
        <v>0</v>
      </c>
      <c r="P175" s="30">
        <v>0</v>
      </c>
      <c r="Q175" s="457">
        <f>IF(Provozování!$V$16="Neaktivní",0,Provozování!W28)</f>
        <v>0</v>
      </c>
      <c r="T175" s="12" t="s">
        <v>21</v>
      </c>
      <c r="U175" s="12" t="s">
        <v>22</v>
      </c>
      <c r="V175" s="3" t="s">
        <v>10</v>
      </c>
      <c r="W175" s="462">
        <v>0</v>
      </c>
      <c r="X175" s="44">
        <f>IF(Provozování!$V$16="Neaktivní",F175,O175)</f>
        <v>0</v>
      </c>
      <c r="Y175" s="44">
        <f>W175-X175</f>
        <v>0</v>
      </c>
      <c r="Z175" s="464">
        <v>0</v>
      </c>
      <c r="AA175" s="44">
        <f>IF(Provozování!$V$16="Neaktivní",H175,Q175)</f>
        <v>0</v>
      </c>
      <c r="AB175" s="30">
        <f>Z175-AA175</f>
        <v>0</v>
      </c>
      <c r="AC175" s="146"/>
      <c r="AK175" s="146"/>
      <c r="AL175" s="146"/>
      <c r="AM175" s="146"/>
      <c r="AN175" s="146"/>
    </row>
    <row r="176" spans="2:40" x14ac:dyDescent="0.25">
      <c r="B176" s="12" t="s">
        <v>23</v>
      </c>
      <c r="C176" s="12" t="s">
        <v>24</v>
      </c>
      <c r="D176" s="3" t="s">
        <v>10</v>
      </c>
      <c r="E176" s="87">
        <v>0</v>
      </c>
      <c r="F176" s="456">
        <f>IF(YEAR(Postup!$H$25)&gt;$D$156,Provozování!T29,IF(AND(DAY(Postup!$H$25)=31,MONTH(Postup!$H$25)=12,YEAR(Postup!$H$25)=$D$156),Provozování!T29,IF(YEAR(Postup!$H$25)=$D$156,Provozování!$BL29,0)))</f>
        <v>0</v>
      </c>
      <c r="G176" s="87">
        <v>0</v>
      </c>
      <c r="H176" s="457">
        <f>IF(YEAR(Postup!$H$25)&gt;$D$156,Provozování!U29,IF(AND(DAY(Postup!$H$25)=31,MONTH(Postup!$H$25)=12,YEAR(Postup!$H$25)=$D$156),Provozování!U29,IF(YEAR(Postup!$H$25)=$D$156,Provozování!$BM29,0)))</f>
        <v>0</v>
      </c>
      <c r="K176" s="12" t="s">
        <v>23</v>
      </c>
      <c r="L176" s="12" t="s">
        <v>24</v>
      </c>
      <c r="M176" s="3" t="s">
        <v>10</v>
      </c>
      <c r="N176" s="87">
        <v>0</v>
      </c>
      <c r="O176" s="456">
        <f>IF(Provozování!$V$16="Neaktivní",0,Provozování!V29)</f>
        <v>0</v>
      </c>
      <c r="P176" s="87">
        <v>0</v>
      </c>
      <c r="Q176" s="457">
        <f>IF(Provozování!$V$16="Neaktivní",0,Provozování!W29)</f>
        <v>0</v>
      </c>
      <c r="T176" s="12" t="s">
        <v>23</v>
      </c>
      <c r="U176" s="12" t="s">
        <v>24</v>
      </c>
      <c r="V176" s="3" t="s">
        <v>10</v>
      </c>
      <c r="W176" s="463">
        <v>0</v>
      </c>
      <c r="X176" s="44">
        <f>IF(Provozování!$V$16="Neaktivní",F176,O176)</f>
        <v>0</v>
      </c>
      <c r="Y176" s="44">
        <f>W176-X176</f>
        <v>0</v>
      </c>
      <c r="Z176" s="465">
        <v>0</v>
      </c>
      <c r="AA176" s="44">
        <f>IF(Provozování!$V$16="Neaktivní",H176,Q176)</f>
        <v>0</v>
      </c>
      <c r="AB176" s="30">
        <f>Z176-AA176</f>
        <v>0</v>
      </c>
      <c r="AC176" s="146"/>
      <c r="AK176" s="146"/>
      <c r="AL176" s="146"/>
      <c r="AM176" s="146"/>
      <c r="AN176" s="146"/>
    </row>
    <row r="177" spans="2:40" x14ac:dyDescent="0.25">
      <c r="B177" s="9" t="s">
        <v>25</v>
      </c>
      <c r="C177" s="10" t="s">
        <v>400</v>
      </c>
      <c r="D177" s="11" t="s">
        <v>10</v>
      </c>
      <c r="E177" s="41">
        <f>SUM(E178:E179)</f>
        <v>0</v>
      </c>
      <c r="F177" s="41">
        <f>SUM(F178:F179)</f>
        <v>0</v>
      </c>
      <c r="G177" s="41">
        <f>SUM(G178:G179)</f>
        <v>0</v>
      </c>
      <c r="H177" s="86">
        <f>SUM(H178:H179)</f>
        <v>0</v>
      </c>
      <c r="K177" s="9" t="s">
        <v>25</v>
      </c>
      <c r="L177" s="10" t="s">
        <v>400</v>
      </c>
      <c r="M177" s="11" t="s">
        <v>10</v>
      </c>
      <c r="N177" s="41">
        <f>SUM(N178:N179)</f>
        <v>0</v>
      </c>
      <c r="O177" s="41">
        <f>SUM(O178:O179)</f>
        <v>0</v>
      </c>
      <c r="P177" s="41">
        <f>SUM(P178:P179)</f>
        <v>0</v>
      </c>
      <c r="Q177" s="86">
        <f>SUM(Q178:Q179)</f>
        <v>0</v>
      </c>
      <c r="T177" s="9" t="s">
        <v>25</v>
      </c>
      <c r="U177" s="10" t="s">
        <v>400</v>
      </c>
      <c r="V177" s="11" t="s">
        <v>10</v>
      </c>
      <c r="W177" s="86">
        <f t="shared" ref="W177:AB177" si="20">SUM(W178:W179)</f>
        <v>0</v>
      </c>
      <c r="X177" s="86">
        <f t="shared" si="20"/>
        <v>0</v>
      </c>
      <c r="Y177" s="86">
        <f t="shared" si="20"/>
        <v>0</v>
      </c>
      <c r="Z177" s="86">
        <f t="shared" si="20"/>
        <v>0</v>
      </c>
      <c r="AA177" s="86">
        <f t="shared" si="20"/>
        <v>0</v>
      </c>
      <c r="AB177" s="86">
        <f t="shared" si="20"/>
        <v>0</v>
      </c>
      <c r="AC177" s="146"/>
      <c r="AD177" s="146"/>
      <c r="AK177" s="146"/>
      <c r="AL177" s="146"/>
      <c r="AM177" s="146"/>
      <c r="AN177" s="146"/>
    </row>
    <row r="178" spans="2:40" x14ac:dyDescent="0.25">
      <c r="B178" s="12" t="s">
        <v>26</v>
      </c>
      <c r="C178" s="13" t="s">
        <v>390</v>
      </c>
      <c r="D178" s="3" t="s">
        <v>10</v>
      </c>
      <c r="E178" s="44">
        <v>0</v>
      </c>
      <c r="F178" s="456">
        <f>IF(YEAR(Postup!$H$25)&gt;$D$156,Provozování!T31,IF(AND(DAY(Postup!$H$25)=31,MONTH(Postup!$H$25)=12,YEAR(Postup!$H$25)=$D$156),Provozování!T31,IF(YEAR(Postup!$H$25)=$D$156,Provozování!$BL31,0)))</f>
        <v>0</v>
      </c>
      <c r="G178" s="44">
        <v>0</v>
      </c>
      <c r="H178" s="457">
        <f>IF(YEAR(Postup!$H$25)&gt;$D$156,Provozování!U31,IF(AND(DAY(Postup!$H$25)=31,MONTH(Postup!$H$25)=12,YEAR(Postup!$H$25)=$D$156),Provozování!U31,IF(YEAR(Postup!$H$25)=$D$156,Provozování!$BM31,0)))</f>
        <v>0</v>
      </c>
      <c r="K178" s="12" t="s">
        <v>26</v>
      </c>
      <c r="L178" s="13" t="s">
        <v>390</v>
      </c>
      <c r="M178" s="3" t="s">
        <v>10</v>
      </c>
      <c r="N178" s="44">
        <v>0</v>
      </c>
      <c r="O178" s="456">
        <f>IF(Provozování!$V$16="Neaktivní",0,Provozování!V31)</f>
        <v>0</v>
      </c>
      <c r="P178" s="44">
        <v>0</v>
      </c>
      <c r="Q178" s="457">
        <f>IF(Provozování!$V$16="Neaktivní",0,Provozování!W31)</f>
        <v>0</v>
      </c>
      <c r="T178" s="12" t="s">
        <v>26</v>
      </c>
      <c r="U178" s="13" t="s">
        <v>390</v>
      </c>
      <c r="V178" s="3" t="s">
        <v>10</v>
      </c>
      <c r="W178" s="462">
        <v>0</v>
      </c>
      <c r="X178" s="44">
        <f>IF(Provozování!$V$16="Neaktivní",F178,O178)</f>
        <v>0</v>
      </c>
      <c r="Y178" s="44">
        <f>W178-X178</f>
        <v>0</v>
      </c>
      <c r="Z178" s="462">
        <v>0</v>
      </c>
      <c r="AA178" s="44">
        <f>IF(Provozování!$V$16="Neaktivní",H178,Q178)</f>
        <v>0</v>
      </c>
      <c r="AB178" s="30">
        <f>Z178-AA178</f>
        <v>0</v>
      </c>
      <c r="AC178" s="146"/>
      <c r="AD178" s="146"/>
      <c r="AK178" s="146"/>
      <c r="AL178" s="146"/>
      <c r="AM178" s="146"/>
      <c r="AN178" s="146"/>
    </row>
    <row r="179" spans="2:40" x14ac:dyDescent="0.25">
      <c r="B179" s="12" t="s">
        <v>27</v>
      </c>
      <c r="C179" s="13" t="s">
        <v>401</v>
      </c>
      <c r="D179" s="3" t="s">
        <v>10</v>
      </c>
      <c r="E179" s="44">
        <v>0</v>
      </c>
      <c r="F179" s="456">
        <f>IF(YEAR(Postup!$H$25)&gt;$D$156,Provozování!T32,IF(AND(DAY(Postup!$H$25)=31,MONTH(Postup!$H$25)=12,YEAR(Postup!$H$25)=$D$156),Provozování!T32,IF(YEAR(Postup!$H$25)=$D$156,Provozování!$BL32,0)))</f>
        <v>0</v>
      </c>
      <c r="G179" s="44">
        <v>0</v>
      </c>
      <c r="H179" s="457">
        <f>IF(YEAR(Postup!$H$25)&gt;$D$156,Provozování!U32,IF(AND(DAY(Postup!$H$25)=31,MONTH(Postup!$H$25)=12,YEAR(Postup!$H$25)=$D$156),Provozování!U32,IF(YEAR(Postup!$H$25)=$D$156,Provozování!$BM32,0)))</f>
        <v>0</v>
      </c>
      <c r="K179" s="12" t="s">
        <v>27</v>
      </c>
      <c r="L179" s="13" t="s">
        <v>401</v>
      </c>
      <c r="M179" s="3" t="s">
        <v>10</v>
      </c>
      <c r="N179" s="44">
        <v>0</v>
      </c>
      <c r="O179" s="456">
        <f>IF(Provozování!$V$16="Neaktivní",0,Provozování!V32)</f>
        <v>0</v>
      </c>
      <c r="P179" s="44">
        <v>0</v>
      </c>
      <c r="Q179" s="457">
        <f>IF(Provozování!$V$16="Neaktivní",0,Provozování!W32)</f>
        <v>0</v>
      </c>
      <c r="T179" s="12" t="s">
        <v>27</v>
      </c>
      <c r="U179" s="13" t="s">
        <v>401</v>
      </c>
      <c r="V179" s="3" t="s">
        <v>10</v>
      </c>
      <c r="W179" s="462">
        <v>0</v>
      </c>
      <c r="X179" s="44">
        <f>IF(Provozování!$V$16="Neaktivní",F179,O179)</f>
        <v>0</v>
      </c>
      <c r="Y179" s="44">
        <f>W179-X179</f>
        <v>0</v>
      </c>
      <c r="Z179" s="462">
        <v>0</v>
      </c>
      <c r="AA179" s="44">
        <f>IF(Provozování!$V$16="Neaktivní",H179,Q179)</f>
        <v>0</v>
      </c>
      <c r="AB179" s="30">
        <f>Z179-AA179</f>
        <v>0</v>
      </c>
      <c r="AC179" s="146"/>
      <c r="AD179" s="146"/>
      <c r="AK179" s="146"/>
      <c r="AL179" s="146"/>
      <c r="AM179" s="146"/>
      <c r="AN179" s="146"/>
    </row>
    <row r="180" spans="2:40" x14ac:dyDescent="0.25">
      <c r="B180" s="9" t="s">
        <v>28</v>
      </c>
      <c r="C180" s="10" t="s">
        <v>29</v>
      </c>
      <c r="D180" s="11" t="s">
        <v>10</v>
      </c>
      <c r="E180" s="41">
        <f>SUM(E181:E184)</f>
        <v>0</v>
      </c>
      <c r="F180" s="41">
        <f>SUM(F181:F184)</f>
        <v>0</v>
      </c>
      <c r="G180" s="41">
        <f>SUM(G181:G184)</f>
        <v>0</v>
      </c>
      <c r="H180" s="86">
        <f>SUM(H181:H184)</f>
        <v>0</v>
      </c>
      <c r="K180" s="9" t="s">
        <v>28</v>
      </c>
      <c r="L180" s="10" t="s">
        <v>29</v>
      </c>
      <c r="M180" s="11" t="s">
        <v>10</v>
      </c>
      <c r="N180" s="41">
        <f>SUM(N181:N184)</f>
        <v>0</v>
      </c>
      <c r="O180" s="41">
        <f>SUM(O181:O184)</f>
        <v>0</v>
      </c>
      <c r="P180" s="41">
        <f>SUM(P181:P184)</f>
        <v>0</v>
      </c>
      <c r="Q180" s="86">
        <f>SUM(Q181:Q184)</f>
        <v>0</v>
      </c>
      <c r="T180" s="9" t="s">
        <v>28</v>
      </c>
      <c r="U180" s="10" t="s">
        <v>29</v>
      </c>
      <c r="V180" s="11" t="s">
        <v>10</v>
      </c>
      <c r="W180" s="86">
        <f t="shared" ref="W180:AB180" si="21">SUM(W181:W184)</f>
        <v>0</v>
      </c>
      <c r="X180" s="86">
        <f t="shared" si="21"/>
        <v>0</v>
      </c>
      <c r="Y180" s="86">
        <f t="shared" si="21"/>
        <v>0</v>
      </c>
      <c r="Z180" s="86">
        <f t="shared" si="21"/>
        <v>0</v>
      </c>
      <c r="AA180" s="86">
        <f t="shared" si="21"/>
        <v>0</v>
      </c>
      <c r="AB180" s="86">
        <f t="shared" si="21"/>
        <v>0</v>
      </c>
      <c r="AC180" s="146"/>
      <c r="AD180" s="146"/>
      <c r="AK180" s="146"/>
      <c r="AL180" s="146"/>
      <c r="AM180" s="146"/>
      <c r="AN180" s="146"/>
    </row>
    <row r="181" spans="2:40" x14ac:dyDescent="0.25">
      <c r="B181" s="12" t="s">
        <v>30</v>
      </c>
      <c r="C181" s="12" t="s">
        <v>381</v>
      </c>
      <c r="D181" s="3" t="s">
        <v>10</v>
      </c>
      <c r="E181" s="44">
        <v>0</v>
      </c>
      <c r="F181" s="336">
        <f>IF(YEAR(Postup!$H$25)&gt;$D$156,Provozování!T34,IF(AND(DAY(Postup!$H$25)=31,MONTH(Postup!$H$25)=12,YEAR(Postup!$H$25)=$D$156),Provozování!T34,IF(YEAR(Postup!$H$25)=$D$156,Provozování!$BL34,0)))</f>
        <v>0</v>
      </c>
      <c r="G181" s="44">
        <v>0</v>
      </c>
      <c r="H181" s="335">
        <f>IF(YEAR(Postup!$H$25)&gt;$D$156,Provozování!U34,IF(AND(DAY(Postup!$H$25)=31,MONTH(Postup!$H$25)=12,YEAR(Postup!$H$25)=$D$156),Provozování!U34,IF(YEAR(Postup!$H$25)=$D$156,Provozování!$BM34,0)))</f>
        <v>0</v>
      </c>
      <c r="K181" s="12" t="s">
        <v>30</v>
      </c>
      <c r="L181" s="12" t="s">
        <v>381</v>
      </c>
      <c r="M181" s="3" t="s">
        <v>10</v>
      </c>
      <c r="N181" s="44">
        <v>0</v>
      </c>
      <c r="O181" s="640">
        <f>IF(Provozování!$V$16="Neaktivní",0,Provozování!V34)</f>
        <v>0</v>
      </c>
      <c r="P181" s="44">
        <v>0</v>
      </c>
      <c r="Q181" s="772">
        <f>IF(Provozování!$V$16="Neaktivní",0,Provozování!W34)</f>
        <v>0</v>
      </c>
      <c r="T181" s="12" t="s">
        <v>30</v>
      </c>
      <c r="U181" s="12" t="s">
        <v>381</v>
      </c>
      <c r="V181" s="3" t="s">
        <v>10</v>
      </c>
      <c r="W181" s="462">
        <v>0</v>
      </c>
      <c r="X181" s="44">
        <f>IF(Provozování!$V$16="Neaktivní",F181,O181)</f>
        <v>0</v>
      </c>
      <c r="Y181" s="44">
        <f>W181-X181</f>
        <v>0</v>
      </c>
      <c r="Z181" s="462">
        <v>0</v>
      </c>
      <c r="AA181" s="44">
        <f>IF(Provozování!$V$16="Neaktivní",H181,Q181)</f>
        <v>0</v>
      </c>
      <c r="AB181" s="30">
        <f>Z181-AA181</f>
        <v>0</v>
      </c>
      <c r="AC181" s="146"/>
      <c r="AD181" s="146"/>
      <c r="AK181" s="146"/>
      <c r="AL181" s="146"/>
      <c r="AM181" s="146"/>
      <c r="AN181" s="146"/>
    </row>
    <row r="182" spans="2:40" x14ac:dyDescent="0.25">
      <c r="B182" s="12" t="s">
        <v>32</v>
      </c>
      <c r="C182" s="12" t="s">
        <v>383</v>
      </c>
      <c r="D182" s="3" t="s">
        <v>10</v>
      </c>
      <c r="E182" s="44">
        <v>0</v>
      </c>
      <c r="F182" s="662">
        <f>IF(YEAR(Postup!$H$25)&gt;$D$156,Provozování!T35,IF(AND(DAY(Postup!$H$25)=31,MONTH(Postup!$H$25)=12,YEAR(Postup!$H$25)=$D$156),Provozování!T35,IF(YEAR(Postup!$H$25)=$D$156,Provozování!$BL35,0)))</f>
        <v>0</v>
      </c>
      <c r="G182" s="44">
        <v>0</v>
      </c>
      <c r="H182" s="663">
        <f>IF(YEAR(Postup!$H$25)&gt;$D$156,Provozování!U35,IF(AND(DAY(Postup!$H$25)=31,MONTH(Postup!$H$25)=12,YEAR(Postup!$H$25)=$D$156),Provozování!U35,IF(YEAR(Postup!$H$25)=$D$156,Provozování!$BM35,0)))</f>
        <v>0</v>
      </c>
      <c r="K182" s="12" t="s">
        <v>32</v>
      </c>
      <c r="L182" s="12" t="s">
        <v>383</v>
      </c>
      <c r="M182" s="3" t="s">
        <v>10</v>
      </c>
      <c r="N182" s="44">
        <v>0</v>
      </c>
      <c r="O182" s="666">
        <f>IF(Provozování!$V$16="Neaktivní",0,Provozování!V35)</f>
        <v>0</v>
      </c>
      <c r="P182" s="44">
        <v>0</v>
      </c>
      <c r="Q182" s="669">
        <f>IF(Provozování!$V$16="Neaktivní",0,Provozování!W35)</f>
        <v>0</v>
      </c>
      <c r="T182" s="12" t="s">
        <v>32</v>
      </c>
      <c r="U182" s="12" t="s">
        <v>383</v>
      </c>
      <c r="V182" s="3" t="s">
        <v>10</v>
      </c>
      <c r="W182" s="642">
        <f>IF(Provozování!$V$16="Aktivní",O182,F182)</f>
        <v>0</v>
      </c>
      <c r="X182" s="44">
        <f>IF(Provozování!$V$16="Neaktivní",F182,O182)</f>
        <v>0</v>
      </c>
      <c r="Y182" s="44">
        <f>W182-X182</f>
        <v>0</v>
      </c>
      <c r="Z182" s="642">
        <f>IF(Provozování!$V$16="Aktivní",Q182,H182)</f>
        <v>0</v>
      </c>
      <c r="AA182" s="44">
        <f>IF(Provozování!$V$16="Neaktivní",H182,Q182)</f>
        <v>0</v>
      </c>
      <c r="AB182" s="30">
        <f>Z182-AA182</f>
        <v>0</v>
      </c>
      <c r="AC182" s="146"/>
      <c r="AD182" s="146"/>
      <c r="AK182" s="146"/>
      <c r="AL182" s="146"/>
      <c r="AM182" s="146"/>
      <c r="AN182" s="146"/>
    </row>
    <row r="183" spans="2:40" x14ac:dyDescent="0.25">
      <c r="B183" s="12" t="s">
        <v>33</v>
      </c>
      <c r="C183" s="12" t="s">
        <v>382</v>
      </c>
      <c r="D183" s="3" t="s">
        <v>10</v>
      </c>
      <c r="E183" s="44">
        <v>0</v>
      </c>
      <c r="F183" s="336">
        <f>IF(YEAR(Postup!$H$25)&gt;$D$156,Provozování!T36,IF(AND(DAY(Postup!$H$25)=31,MONTH(Postup!$H$25)=12,YEAR(Postup!$H$25)=$D$156),Provozování!T36,IF(YEAR(Postup!$H$25)=$D$156,Provozování!$BL36,0)))</f>
        <v>0</v>
      </c>
      <c r="G183" s="44">
        <v>0</v>
      </c>
      <c r="H183" s="335">
        <f>IF(YEAR(Postup!$H$25)&gt;$D$156,Provozování!U36,IF(AND(DAY(Postup!$H$25)=31,MONTH(Postup!$H$25)=12,YEAR(Postup!$H$25)=$D$156),Provozování!U36,IF(YEAR(Postup!$H$25)=$D$156,Provozování!$BM36,0)))</f>
        <v>0</v>
      </c>
      <c r="K183" s="12" t="s">
        <v>33</v>
      </c>
      <c r="L183" s="12" t="s">
        <v>382</v>
      </c>
      <c r="M183" s="3" t="s">
        <v>10</v>
      </c>
      <c r="N183" s="44">
        <v>0</v>
      </c>
      <c r="O183" s="640">
        <f>IF(Provozování!$V$16="Neaktivní",0,Provozování!V36)</f>
        <v>0</v>
      </c>
      <c r="P183" s="44">
        <v>0</v>
      </c>
      <c r="Q183" s="772">
        <f>IF(Provozování!$V$16="Neaktivní",0,Provozování!W36)</f>
        <v>0</v>
      </c>
      <c r="T183" s="12" t="s">
        <v>33</v>
      </c>
      <c r="U183" s="12" t="s">
        <v>382</v>
      </c>
      <c r="V183" s="3" t="s">
        <v>10</v>
      </c>
      <c r="W183" s="462">
        <v>0</v>
      </c>
      <c r="X183" s="44">
        <f>IF(Provozování!$V$16="Neaktivní",F183,O183)</f>
        <v>0</v>
      </c>
      <c r="Y183" s="44">
        <f>W183-X183</f>
        <v>0</v>
      </c>
      <c r="Z183" s="462">
        <v>0</v>
      </c>
      <c r="AA183" s="44">
        <f>IF(Provozování!$V$16="Neaktivní",H183,Q183)</f>
        <v>0</v>
      </c>
      <c r="AB183" s="30">
        <f>Z183-AA183</f>
        <v>0</v>
      </c>
      <c r="AC183" s="146"/>
      <c r="AD183" s="146"/>
      <c r="AK183" s="146"/>
      <c r="AL183" s="146"/>
      <c r="AM183" s="146"/>
      <c r="AN183" s="146"/>
    </row>
    <row r="184" spans="2:40" x14ac:dyDescent="0.25">
      <c r="B184" s="12" t="s">
        <v>34</v>
      </c>
      <c r="C184" s="497" t="s">
        <v>384</v>
      </c>
      <c r="D184" s="3" t="s">
        <v>10</v>
      </c>
      <c r="E184" s="44">
        <v>0</v>
      </c>
      <c r="F184" s="666">
        <f>IF(YEAR(Postup!$H$25)&gt;$D$156,Provozování!T37,IF(AND(DAY(Postup!$H$25)=31,MONTH(Postup!$H$25)=12,YEAR(Postup!$H$25)=$D$156),Provozování!T37,IF(YEAR(Postup!$H$25)=$D$156,Provozování!$BL37,0)))</f>
        <v>0</v>
      </c>
      <c r="G184" s="44">
        <v>0</v>
      </c>
      <c r="H184" s="667">
        <f>IF(YEAR(Postup!$H$25)&gt;$D$156,Provozování!U37,IF(AND(DAY(Postup!$H$25)=31,MONTH(Postup!$H$25)=12,YEAR(Postup!$H$25)=$D$156),Provozování!U37,IF(YEAR(Postup!$H$25)=$D$156,Provozování!$BM37,0)))</f>
        <v>0</v>
      </c>
      <c r="K184" s="12" t="s">
        <v>34</v>
      </c>
      <c r="L184" s="497" t="s">
        <v>384</v>
      </c>
      <c r="M184" s="3" t="s">
        <v>10</v>
      </c>
      <c r="N184" s="44">
        <v>0</v>
      </c>
      <c r="O184" s="666">
        <f>IF(Provozování!$V$16="Neaktivní",0,Provozování!V37)</f>
        <v>0</v>
      </c>
      <c r="P184" s="44">
        <v>0</v>
      </c>
      <c r="Q184" s="667">
        <f>IF(Provozování!$V$16="Neaktivní",0,Provozování!W37)</f>
        <v>0</v>
      </c>
      <c r="T184" s="12" t="s">
        <v>34</v>
      </c>
      <c r="U184" s="497" t="s">
        <v>384</v>
      </c>
      <c r="V184" s="3" t="s">
        <v>10</v>
      </c>
      <c r="W184" s="637">
        <f>IF(Provozování!$V$16="Aktivní",O184,F184)</f>
        <v>0</v>
      </c>
      <c r="X184" s="337">
        <f>IF(Provozování!$V$16="Neaktivní",F184,O184)</f>
        <v>0</v>
      </c>
      <c r="Y184" s="337">
        <f>W184-X184</f>
        <v>0</v>
      </c>
      <c r="Z184" s="637">
        <f>IF(Provozování!$V$16="Aktivní",Q184,H184)</f>
        <v>0</v>
      </c>
      <c r="AA184" s="337">
        <f>IF(Provozování!$V$16="Neaktivní",H184,Q184)</f>
        <v>0</v>
      </c>
      <c r="AB184" s="334">
        <f>Z184-AA184</f>
        <v>0</v>
      </c>
      <c r="AC184" s="146"/>
      <c r="AD184" s="146"/>
      <c r="AE184" s="1073" t="s">
        <v>291</v>
      </c>
      <c r="AF184" s="1074"/>
      <c r="AG184" s="339">
        <f>Y166</f>
        <v>2026</v>
      </c>
      <c r="AH184" s="339">
        <f>AG184</f>
        <v>2026</v>
      </c>
      <c r="AK184" s="146"/>
      <c r="AL184" s="146"/>
      <c r="AM184" s="146"/>
      <c r="AN184" s="146"/>
    </row>
    <row r="185" spans="2:40" x14ac:dyDescent="0.25">
      <c r="B185" s="9" t="s">
        <v>35</v>
      </c>
      <c r="C185" s="10" t="s">
        <v>387</v>
      </c>
      <c r="D185" s="11" t="s">
        <v>10</v>
      </c>
      <c r="E185" s="41">
        <f>SUM(E186:E188)</f>
        <v>0</v>
      </c>
      <c r="F185" s="41">
        <f>SUM(F186:F188)</f>
        <v>0</v>
      </c>
      <c r="G185" s="41">
        <f>SUM(G186:G188)</f>
        <v>0</v>
      </c>
      <c r="H185" s="86">
        <f>SUM(H186:H188)</f>
        <v>0</v>
      </c>
      <c r="K185" s="9" t="s">
        <v>35</v>
      </c>
      <c r="L185" s="10" t="s">
        <v>387</v>
      </c>
      <c r="M185" s="11" t="s">
        <v>10</v>
      </c>
      <c r="N185" s="41">
        <f>SUM(N186:N188)</f>
        <v>0</v>
      </c>
      <c r="O185" s="41">
        <f>SUM(O186:O188)</f>
        <v>0</v>
      </c>
      <c r="P185" s="41">
        <f>SUM(P186:P188)</f>
        <v>0</v>
      </c>
      <c r="Q185" s="86">
        <f>SUM(Q186:Q188)</f>
        <v>0</v>
      </c>
      <c r="T185" s="9" t="s">
        <v>35</v>
      </c>
      <c r="U185" s="10" t="s">
        <v>387</v>
      </c>
      <c r="V185" s="11" t="s">
        <v>10</v>
      </c>
      <c r="W185" s="86">
        <f t="shared" ref="W185:AB185" si="22">SUM(W186:W188)</f>
        <v>0</v>
      </c>
      <c r="X185" s="86">
        <f t="shared" si="22"/>
        <v>0</v>
      </c>
      <c r="Y185" s="86">
        <f t="shared" si="22"/>
        <v>0</v>
      </c>
      <c r="Z185" s="86">
        <f t="shared" si="22"/>
        <v>0</v>
      </c>
      <c r="AA185" s="86">
        <f t="shared" si="22"/>
        <v>0</v>
      </c>
      <c r="AB185" s="86">
        <f t="shared" si="22"/>
        <v>0</v>
      </c>
      <c r="AC185" s="146"/>
      <c r="AD185" s="146"/>
      <c r="AE185" s="1075"/>
      <c r="AF185" s="1076"/>
      <c r="AG185" s="1072" t="s">
        <v>238</v>
      </c>
      <c r="AH185" s="1072" t="s">
        <v>239</v>
      </c>
      <c r="AK185" s="146"/>
      <c r="AL185" s="146"/>
      <c r="AM185" s="146"/>
      <c r="AN185" s="146"/>
    </row>
    <row r="186" spans="2:40" x14ac:dyDescent="0.25">
      <c r="B186" s="12" t="s">
        <v>37</v>
      </c>
      <c r="C186" s="13" t="s">
        <v>38</v>
      </c>
      <c r="D186" s="3" t="s">
        <v>10</v>
      </c>
      <c r="E186" s="44">
        <v>0</v>
      </c>
      <c r="F186" s="337">
        <v>0</v>
      </c>
      <c r="G186" s="44">
        <v>0</v>
      </c>
      <c r="H186" s="30">
        <f>IF(YEAR(Postup!$H$25)&gt;$D$156,Provozování!U39,IF(AND(DAY(Postup!$H$25)=31,MONTH(Postup!$H$25)=12,YEAR(Postup!$H$25)=$D$156),Provozování!U39,IF(YEAR(Postup!$H$25)=$D$156,Provozování!$BM39,0)))</f>
        <v>0</v>
      </c>
      <c r="K186" s="12" t="s">
        <v>37</v>
      </c>
      <c r="L186" s="13" t="s">
        <v>38</v>
      </c>
      <c r="M186" s="3" t="s">
        <v>10</v>
      </c>
      <c r="N186" s="44">
        <v>0</v>
      </c>
      <c r="O186" s="337">
        <v>0</v>
      </c>
      <c r="P186" s="44">
        <v>0</v>
      </c>
      <c r="Q186" s="53">
        <f>IF(Provozování!$V$16="Neaktivní",0,Provozování!W39)</f>
        <v>0</v>
      </c>
      <c r="T186" s="12" t="s">
        <v>37</v>
      </c>
      <c r="U186" s="13" t="s">
        <v>38</v>
      </c>
      <c r="V186" s="3" t="s">
        <v>10</v>
      </c>
      <c r="W186" s="337">
        <v>0</v>
      </c>
      <c r="X186" s="337">
        <v>0</v>
      </c>
      <c r="Y186" s="337">
        <v>0</v>
      </c>
      <c r="Z186" s="462">
        <v>0</v>
      </c>
      <c r="AA186" s="44">
        <f>IF(Provozování!$V$16="Neaktivní",H186,Q186)</f>
        <v>0</v>
      </c>
      <c r="AB186" s="30">
        <f>Z186-AA186</f>
        <v>0</v>
      </c>
      <c r="AC186" s="146"/>
      <c r="AD186" s="146"/>
      <c r="AE186" s="1077"/>
      <c r="AF186" s="1078"/>
      <c r="AG186" s="1000"/>
      <c r="AH186" s="1000"/>
      <c r="AK186" s="146"/>
      <c r="AL186" s="146"/>
      <c r="AM186" s="146"/>
      <c r="AN186" s="146"/>
    </row>
    <row r="187" spans="2:40" x14ac:dyDescent="0.25">
      <c r="B187" s="12" t="s">
        <v>39</v>
      </c>
      <c r="C187" s="12" t="s">
        <v>40</v>
      </c>
      <c r="D187" s="3" t="s">
        <v>10</v>
      </c>
      <c r="E187" s="44">
        <v>0</v>
      </c>
      <c r="F187" s="456">
        <f>IF(YEAR(Postup!$H$25)&gt;$D$156,Provozování!T40,IF(AND(DAY(Postup!$H$25)=31,MONTH(Postup!$H$25)=12,YEAR(Postup!$H$25)=$D$156),Provozování!T40,IF(YEAR(Postup!$H$25)=$D$156,Provozování!$BL40,0)))</f>
        <v>0</v>
      </c>
      <c r="G187" s="44">
        <v>0</v>
      </c>
      <c r="H187" s="457">
        <f>IF(YEAR(Postup!$H$25)&gt;$D$156,Provozování!U40,IF(AND(DAY(Postup!$H$25)=31,MONTH(Postup!$H$25)=12,YEAR(Postup!$H$25)=$D$156),Provozování!U40,IF(YEAR(Postup!$H$25)=$D$156,Provozování!$BM40,0)))</f>
        <v>0</v>
      </c>
      <c r="K187" s="12" t="s">
        <v>39</v>
      </c>
      <c r="L187" s="12" t="s">
        <v>40</v>
      </c>
      <c r="M187" s="3" t="s">
        <v>10</v>
      </c>
      <c r="N187" s="44">
        <v>0</v>
      </c>
      <c r="O187" s="456">
        <f>IF(Provozování!$V$16="Neaktivní",0,Provozování!V40)</f>
        <v>0</v>
      </c>
      <c r="P187" s="44">
        <v>0</v>
      </c>
      <c r="Q187" s="457">
        <f>IF(Provozování!$V$16="Neaktivní",0,Provozování!W40)</f>
        <v>0</v>
      </c>
      <c r="T187" s="12" t="s">
        <v>39</v>
      </c>
      <c r="U187" s="12" t="s">
        <v>40</v>
      </c>
      <c r="V187" s="3" t="s">
        <v>10</v>
      </c>
      <c r="W187" s="462">
        <v>0</v>
      </c>
      <c r="X187" s="44">
        <f>IF(Provozování!$V$16="Neaktivní",F187,O187)</f>
        <v>0</v>
      </c>
      <c r="Y187" s="44">
        <f>W187-X187</f>
        <v>0</v>
      </c>
      <c r="Z187" s="462">
        <v>0</v>
      </c>
      <c r="AA187" s="44">
        <f>IF(Provozování!$V$16="Neaktivní",H187,Q187)</f>
        <v>0</v>
      </c>
      <c r="AB187" s="30">
        <f>Z187-AA187</f>
        <v>0</v>
      </c>
      <c r="AC187" s="146"/>
      <c r="AD187" s="146"/>
      <c r="AE187" s="12" t="s">
        <v>326</v>
      </c>
      <c r="AF187" s="12" t="s">
        <v>329</v>
      </c>
      <c r="AG187" s="423">
        <f>Z222</f>
        <v>0</v>
      </c>
      <c r="AH187" s="423">
        <f>AB222</f>
        <v>0</v>
      </c>
      <c r="AK187" s="146"/>
      <c r="AL187" s="146"/>
      <c r="AM187" s="146"/>
      <c r="AN187" s="146"/>
    </row>
    <row r="188" spans="2:40" x14ac:dyDescent="0.25">
      <c r="B188" s="12" t="s">
        <v>41</v>
      </c>
      <c r="C188" s="13" t="s">
        <v>42</v>
      </c>
      <c r="D188" s="3" t="s">
        <v>10</v>
      </c>
      <c r="E188" s="44">
        <v>0</v>
      </c>
      <c r="F188" s="456">
        <f>IF(YEAR(Postup!$H$25)&gt;$D$156,Provozování!T41,IF(AND(DAY(Postup!$H$25)=31,MONTH(Postup!$H$25)=12,YEAR(Postup!$H$25)=$D$156),Provozování!T41,IF(YEAR(Postup!$H$25)=$D$156,Provozování!$BL41,0)))</f>
        <v>0</v>
      </c>
      <c r="G188" s="44">
        <v>0</v>
      </c>
      <c r="H188" s="457">
        <f>IF(YEAR(Postup!$H$25)&gt;$D$156,Provozování!U41,IF(AND(DAY(Postup!$H$25)=31,MONTH(Postup!$H$25)=12,YEAR(Postup!$H$25)=$D$156),Provozování!U41,IF(YEAR(Postup!$H$25)=$D$156,Provozování!$BM41,0)))</f>
        <v>0</v>
      </c>
      <c r="K188" s="12" t="s">
        <v>41</v>
      </c>
      <c r="L188" s="13" t="s">
        <v>42</v>
      </c>
      <c r="M188" s="3" t="s">
        <v>10</v>
      </c>
      <c r="N188" s="44">
        <v>0</v>
      </c>
      <c r="O188" s="456">
        <f>IF(Provozování!$V$16="Neaktivní",0,Provozování!V41)</f>
        <v>0</v>
      </c>
      <c r="P188" s="44">
        <v>0</v>
      </c>
      <c r="Q188" s="457">
        <f>IF(Provozování!$V$16="Neaktivní",0,Provozování!W41)</f>
        <v>0</v>
      </c>
      <c r="T188" s="12" t="s">
        <v>41</v>
      </c>
      <c r="U188" s="13" t="s">
        <v>42</v>
      </c>
      <c r="V188" s="3" t="s">
        <v>10</v>
      </c>
      <c r="W188" s="462">
        <v>0</v>
      </c>
      <c r="X188" s="44">
        <f>IF(Provozování!$V$16="Neaktivní",F188,O188)</f>
        <v>0</v>
      </c>
      <c r="Y188" s="44">
        <f>W188-X188</f>
        <v>0</v>
      </c>
      <c r="Z188" s="462">
        <v>0</v>
      </c>
      <c r="AA188" s="44">
        <f>IF(Provozování!$V$16="Neaktivní",H188,Q188)</f>
        <v>0</v>
      </c>
      <c r="AB188" s="30">
        <f>Z188-AA188</f>
        <v>0</v>
      </c>
      <c r="AC188" s="146"/>
      <c r="AD188" s="146"/>
      <c r="AE188" s="12" t="s">
        <v>327</v>
      </c>
      <c r="AF188" s="13" t="s">
        <v>331</v>
      </c>
      <c r="AG188" s="270">
        <f>Y221</f>
        <v>0</v>
      </c>
      <c r="AH188" s="270">
        <f>AA221</f>
        <v>0</v>
      </c>
      <c r="AK188" s="146"/>
      <c r="AL188" s="146"/>
      <c r="AM188" s="146"/>
      <c r="AN188" s="146"/>
    </row>
    <row r="189" spans="2:40" x14ac:dyDescent="0.25">
      <c r="B189" s="9" t="s">
        <v>43</v>
      </c>
      <c r="C189" s="10" t="s">
        <v>44</v>
      </c>
      <c r="D189" s="11" t="s">
        <v>10</v>
      </c>
      <c r="E189" s="44">
        <v>0</v>
      </c>
      <c r="F189" s="456">
        <f>IF(YEAR(Postup!$H$25)&gt;$D$156,Provozování!T42,IF(AND(DAY(Postup!$H$25)=31,MONTH(Postup!$H$25)=12,YEAR(Postup!$H$25)=$D$156),Provozování!T42,IF(YEAR(Postup!$H$25)=$D$156,Provozování!$BL42,0)))</f>
        <v>0</v>
      </c>
      <c r="G189" s="44">
        <v>0</v>
      </c>
      <c r="H189" s="457">
        <f>IF(YEAR(Postup!$H$25)&gt;$D$156,Provozování!U42,IF(AND(DAY(Postup!$H$25)=31,MONTH(Postup!$H$25)=12,YEAR(Postup!$H$25)=$D$156),Provozování!U42,IF(YEAR(Postup!$H$25)=$D$156,Provozování!$BM42,0)))</f>
        <v>0</v>
      </c>
      <c r="K189" s="9" t="s">
        <v>43</v>
      </c>
      <c r="L189" s="10" t="s">
        <v>44</v>
      </c>
      <c r="M189" s="11" t="s">
        <v>10</v>
      </c>
      <c r="N189" s="44">
        <v>0</v>
      </c>
      <c r="O189" s="456">
        <f>IF(Provozování!$V$16="Neaktivní",0,Provozování!V42)</f>
        <v>0</v>
      </c>
      <c r="P189" s="44">
        <v>0</v>
      </c>
      <c r="Q189" s="461">
        <f>IF(Provozování!$V$16="Neaktivní",0,Provozování!W42)</f>
        <v>0</v>
      </c>
      <c r="T189" s="9" t="s">
        <v>43</v>
      </c>
      <c r="U189" s="10" t="s">
        <v>44</v>
      </c>
      <c r="V189" s="11" t="s">
        <v>10</v>
      </c>
      <c r="W189" s="462">
        <v>0</v>
      </c>
      <c r="X189" s="44">
        <f>IF(Provozování!$V$16="Neaktivní",F189,O189)</f>
        <v>0</v>
      </c>
      <c r="Y189" s="44">
        <f>W189-X189</f>
        <v>0</v>
      </c>
      <c r="Z189" s="462">
        <v>0</v>
      </c>
      <c r="AA189" s="44">
        <f>IF(Provozování!$V$16="Neaktivní",H189,Q189)</f>
        <v>0</v>
      </c>
      <c r="AB189" s="30">
        <f>Z189-AA189</f>
        <v>0</v>
      </c>
      <c r="AC189" s="146"/>
      <c r="AD189" s="146"/>
      <c r="AE189" s="12" t="s">
        <v>328</v>
      </c>
      <c r="AF189" s="13" t="s">
        <v>330</v>
      </c>
      <c r="AG189" s="270">
        <f>Z221</f>
        <v>0</v>
      </c>
      <c r="AH189" s="270">
        <f>AB221</f>
        <v>0</v>
      </c>
      <c r="AK189" s="146"/>
      <c r="AL189" s="146"/>
      <c r="AM189" s="146"/>
      <c r="AN189" s="146"/>
    </row>
    <row r="190" spans="2:40" x14ac:dyDescent="0.25">
      <c r="B190" s="9" t="s">
        <v>45</v>
      </c>
      <c r="C190" s="10" t="s">
        <v>388</v>
      </c>
      <c r="D190" s="11" t="s">
        <v>10</v>
      </c>
      <c r="E190" s="44">
        <v>0</v>
      </c>
      <c r="F190" s="456">
        <f>IF(YEAR(Postup!$H$25)&gt;$D$156,Provozování!T43,IF(AND(DAY(Postup!$H$25)=31,MONTH(Postup!$H$25)=12,YEAR(Postup!$H$25)=$D$156),Provozování!T43,IF(YEAR(Postup!$H$25)=$D$156,Provozování!$BL43,0)))</f>
        <v>0</v>
      </c>
      <c r="G190" s="44">
        <v>0</v>
      </c>
      <c r="H190" s="457">
        <f>IF(YEAR(Postup!$H$25)&gt;$D$156,Provozování!U43,IF(AND(DAY(Postup!$H$25)=31,MONTH(Postup!$H$25)=12,YEAR(Postup!$H$25)=$D$156),Provozování!U43,IF(YEAR(Postup!$H$25)=$D$156,Provozování!$BM43,0)))</f>
        <v>0</v>
      </c>
      <c r="K190" s="9" t="s">
        <v>45</v>
      </c>
      <c r="L190" s="10" t="s">
        <v>388</v>
      </c>
      <c r="M190" s="11" t="s">
        <v>10</v>
      </c>
      <c r="N190" s="44">
        <v>0</v>
      </c>
      <c r="O190" s="456">
        <f>IF(Provozování!$V$16="Neaktivní",0,Provozování!V43)</f>
        <v>0</v>
      </c>
      <c r="P190" s="44">
        <v>0</v>
      </c>
      <c r="Q190" s="461">
        <f>IF(Provozování!$V$16="Neaktivní",0,Provozování!W43)</f>
        <v>0</v>
      </c>
      <c r="T190" s="9" t="s">
        <v>45</v>
      </c>
      <c r="U190" s="10" t="s">
        <v>388</v>
      </c>
      <c r="V190" s="11" t="s">
        <v>10</v>
      </c>
      <c r="W190" s="462">
        <v>0</v>
      </c>
      <c r="X190" s="44">
        <f>IF(Provozování!$V$16="Neaktivní",F190,O190)</f>
        <v>0</v>
      </c>
      <c r="Y190" s="44">
        <f>ABS(W190)-ABS(X190)</f>
        <v>0</v>
      </c>
      <c r="Z190" s="462">
        <v>0</v>
      </c>
      <c r="AA190" s="44">
        <f>IF(Provozování!$V$16="Neaktivní",H190,Q190)</f>
        <v>0</v>
      </c>
      <c r="AB190" s="30">
        <f>ABS(Z190)-ABS(AA190)</f>
        <v>0</v>
      </c>
      <c r="AC190" s="146"/>
      <c r="AD190" s="146"/>
      <c r="AE190" s="12" t="s">
        <v>332</v>
      </c>
      <c r="AF190" s="12" t="s">
        <v>340</v>
      </c>
      <c r="AG190" s="270">
        <f>X194-(X182+X184)</f>
        <v>0</v>
      </c>
      <c r="AH190" s="270">
        <f>AA194-(AA182+AA184)</f>
        <v>0</v>
      </c>
      <c r="AK190" s="146"/>
      <c r="AL190" s="146"/>
      <c r="AM190" s="146"/>
      <c r="AN190" s="146"/>
    </row>
    <row r="191" spans="2:40" x14ac:dyDescent="0.25">
      <c r="B191" s="9" t="s">
        <v>46</v>
      </c>
      <c r="C191" s="10" t="s">
        <v>47</v>
      </c>
      <c r="D191" s="11" t="s">
        <v>10</v>
      </c>
      <c r="E191" s="44">
        <v>0</v>
      </c>
      <c r="F191" s="456">
        <f>IF(YEAR(Postup!$H$25)&gt;$D$156,Provozování!T44,IF(AND(DAY(Postup!$H$25)=31,MONTH(Postup!$H$25)=12,YEAR(Postup!$H$25)=$D$156),Provozování!T44,IF(YEAR(Postup!$H$25)=$D$156,Provozování!$BL44,0)))</f>
        <v>0</v>
      </c>
      <c r="G191" s="44">
        <v>0</v>
      </c>
      <c r="H191" s="457">
        <f>IF(YEAR(Postup!$H$25)&gt;$D$156,Provozování!U44,IF(AND(DAY(Postup!$H$25)=31,MONTH(Postup!$H$25)=12,YEAR(Postup!$H$25)=$D$156),Provozování!U44,IF(YEAR(Postup!$H$25)=$D$156,Provozování!$BM44,0)))</f>
        <v>0</v>
      </c>
      <c r="K191" s="9" t="s">
        <v>46</v>
      </c>
      <c r="L191" s="10" t="s">
        <v>47</v>
      </c>
      <c r="M191" s="11" t="s">
        <v>10</v>
      </c>
      <c r="N191" s="44">
        <v>0</v>
      </c>
      <c r="O191" s="456">
        <f>IF(Provozování!$V$16="Neaktivní",0,Provozování!V44)</f>
        <v>0</v>
      </c>
      <c r="P191" s="44">
        <v>0</v>
      </c>
      <c r="Q191" s="457">
        <f>IF(Provozování!$V$16="Neaktivní",0,Provozování!W44)</f>
        <v>0</v>
      </c>
      <c r="T191" s="9" t="s">
        <v>46</v>
      </c>
      <c r="U191" s="10" t="s">
        <v>47</v>
      </c>
      <c r="V191" s="11" t="s">
        <v>10</v>
      </c>
      <c r="W191" s="462">
        <v>0</v>
      </c>
      <c r="X191" s="44">
        <f>IF(Provozování!$V$16="Neaktivní",F191,O191)</f>
        <v>0</v>
      </c>
      <c r="Y191" s="44">
        <f>W191-X191</f>
        <v>0</v>
      </c>
      <c r="Z191" s="462">
        <v>0</v>
      </c>
      <c r="AA191" s="44">
        <f>IF(Provozování!$V$16="Neaktivní",H191,Q191)</f>
        <v>0</v>
      </c>
      <c r="AB191" s="30">
        <f>Z191-AA191</f>
        <v>0</v>
      </c>
      <c r="AC191" s="146"/>
      <c r="AD191" s="146"/>
      <c r="AE191" s="12" t="s">
        <v>333</v>
      </c>
      <c r="AF191" s="12" t="s">
        <v>339</v>
      </c>
      <c r="AG191" s="270">
        <f>W194-(W182+W184)</f>
        <v>0</v>
      </c>
      <c r="AH191" s="270">
        <f>Z194-(Z182+Z184)</f>
        <v>0</v>
      </c>
      <c r="AK191" s="146"/>
      <c r="AL191" s="146"/>
      <c r="AM191" s="146"/>
      <c r="AN191" s="146"/>
    </row>
    <row r="192" spans="2:40" x14ac:dyDescent="0.25">
      <c r="B192" s="9" t="s">
        <v>48</v>
      </c>
      <c r="C192" s="10" t="s">
        <v>49</v>
      </c>
      <c r="D192" s="11" t="s">
        <v>10</v>
      </c>
      <c r="E192" s="44">
        <v>0</v>
      </c>
      <c r="F192" s="456">
        <f>IF(YEAR(Postup!$H$25)&gt;$D$156,Provozování!T45,IF(AND(DAY(Postup!$H$25)=31,MONTH(Postup!$H$25)=12,YEAR(Postup!$H$25)=$D$156),Provozování!T45,IF(YEAR(Postup!$H$25)=$D$156,Provozování!$BL45,0)))</f>
        <v>0</v>
      </c>
      <c r="G192" s="44">
        <v>0</v>
      </c>
      <c r="H192" s="457">
        <f>IF(YEAR(Postup!$H$25)&gt;$D$156,Provozování!U45,IF(AND(DAY(Postup!$H$25)=31,MONTH(Postup!$H$25)=12,YEAR(Postup!$H$25)=$D$156),Provozování!U45,IF(YEAR(Postup!$H$25)=$D$156,Provozování!$BM45,0)))</f>
        <v>0</v>
      </c>
      <c r="K192" s="9" t="s">
        <v>48</v>
      </c>
      <c r="L192" s="10" t="s">
        <v>49</v>
      </c>
      <c r="M192" s="11" t="s">
        <v>10</v>
      </c>
      <c r="N192" s="44">
        <v>0</v>
      </c>
      <c r="O192" s="456">
        <f>IF(Provozování!$V$16="Neaktivní",0,Provozování!V45)</f>
        <v>0</v>
      </c>
      <c r="P192" s="44">
        <v>0</v>
      </c>
      <c r="Q192" s="457">
        <f>IF(Provozování!$V$16="Neaktivní",0,Provozování!W45)</f>
        <v>0</v>
      </c>
      <c r="T192" s="9" t="s">
        <v>48</v>
      </c>
      <c r="U192" s="10" t="s">
        <v>49</v>
      </c>
      <c r="V192" s="11" t="s">
        <v>10</v>
      </c>
      <c r="W192" s="462">
        <v>0</v>
      </c>
      <c r="X192" s="44">
        <f>IF(Provozování!$V$16="Neaktivní",F192,O192)</f>
        <v>0</v>
      </c>
      <c r="Y192" s="44">
        <f>W192-X192</f>
        <v>0</v>
      </c>
      <c r="Z192" s="462">
        <v>0</v>
      </c>
      <c r="AA192" s="44">
        <f>IF(Provozování!$V$16="Neaktivní",H192,Q192)</f>
        <v>0</v>
      </c>
      <c r="AB192" s="30">
        <f>Z192-AA192</f>
        <v>0</v>
      </c>
      <c r="AC192" s="146"/>
      <c r="AD192" s="146"/>
      <c r="AE192" s="12" t="s">
        <v>345</v>
      </c>
      <c r="AF192" s="12" t="s">
        <v>346</v>
      </c>
      <c r="AG192" s="270">
        <f>Provozování!T$102</f>
        <v>0</v>
      </c>
      <c r="AH192" s="270">
        <f>Provozování!U$102</f>
        <v>0</v>
      </c>
      <c r="AK192" s="146"/>
      <c r="AL192" s="146"/>
      <c r="AM192" s="146"/>
      <c r="AN192" s="146"/>
    </row>
    <row r="193" spans="2:40" x14ac:dyDescent="0.25">
      <c r="B193" s="12" t="s">
        <v>386</v>
      </c>
      <c r="C193" s="12" t="s">
        <v>385</v>
      </c>
      <c r="D193" s="3" t="s">
        <v>10</v>
      </c>
      <c r="E193" s="44"/>
      <c r="F193" s="456">
        <f>Provozování!T46</f>
        <v>0.02</v>
      </c>
      <c r="G193" s="44"/>
      <c r="H193" s="457">
        <f>Provozování!U46</f>
        <v>0.02</v>
      </c>
      <c r="K193" s="12" t="s">
        <v>386</v>
      </c>
      <c r="L193" s="12" t="s">
        <v>385</v>
      </c>
      <c r="M193" s="3" t="s">
        <v>10</v>
      </c>
      <c r="N193" s="44"/>
      <c r="O193" s="456">
        <f>IF(Provozování!$V$16="Neaktivní",0,Provozování!V46)</f>
        <v>0</v>
      </c>
      <c r="P193" s="44"/>
      <c r="Q193" s="457">
        <f>IF(Provozování!$V$16="Neaktivní",0,Provozování!W46)</f>
        <v>0</v>
      </c>
      <c r="T193" s="12" t="s">
        <v>386</v>
      </c>
      <c r="U193" s="12" t="s">
        <v>385</v>
      </c>
      <c r="V193" s="3" t="s">
        <v>10</v>
      </c>
      <c r="W193" s="462">
        <v>0</v>
      </c>
      <c r="X193" s="44"/>
      <c r="Y193" s="44"/>
      <c r="Z193" s="462">
        <v>0</v>
      </c>
      <c r="AA193" s="44"/>
      <c r="AB193" s="30"/>
      <c r="AC193" s="146"/>
      <c r="AD193" s="146"/>
      <c r="AE193" s="435" t="s">
        <v>349</v>
      </c>
      <c r="AF193" s="436"/>
      <c r="AG193" s="1066">
        <f>(AG187*AG188-AG187*AG189)+(AG190-AG191)-AG192</f>
        <v>0</v>
      </c>
      <c r="AH193" s="1066">
        <f>(AH187*AH188-AH187*AH189)+(AH190-AH191)-AH192</f>
        <v>0</v>
      </c>
      <c r="AK193" s="146"/>
      <c r="AL193" s="146"/>
      <c r="AM193" s="146"/>
      <c r="AN193" s="146"/>
    </row>
    <row r="194" spans="2:40" x14ac:dyDescent="0.25">
      <c r="B194" s="9" t="s">
        <v>50</v>
      </c>
      <c r="C194" s="10" t="s">
        <v>391</v>
      </c>
      <c r="D194" s="11" t="s">
        <v>10</v>
      </c>
      <c r="E194" s="41">
        <f>E169+E174+E177+E180+E185+E189+E190+E191+E192</f>
        <v>0</v>
      </c>
      <c r="F194" s="41">
        <f>F169+F174+F177+F180+F185+F189+F190+F191+F192</f>
        <v>0</v>
      </c>
      <c r="G194" s="41">
        <f>G169+G174+G177+G180+G185+G189+G190+G191+G192</f>
        <v>0</v>
      </c>
      <c r="H194" s="86">
        <f>H169+H174+H177+H180+H185+H189+H190+H191+H192</f>
        <v>0</v>
      </c>
      <c r="K194" s="9" t="s">
        <v>50</v>
      </c>
      <c r="L194" s="10" t="s">
        <v>391</v>
      </c>
      <c r="M194" s="11" t="s">
        <v>10</v>
      </c>
      <c r="N194" s="41">
        <f>N169+N174+N177+N180+N185+N189+N190+N191+N192</f>
        <v>0</v>
      </c>
      <c r="O194" s="41">
        <f>O169+O174+O177+O180+O185+O189+O190+O191+O192</f>
        <v>0</v>
      </c>
      <c r="P194" s="41">
        <f>P169+P174+P177+P180+P185+P189+P190+P191+P192</f>
        <v>0</v>
      </c>
      <c r="Q194" s="86">
        <f>Q169+Q174+Q177+Q180+Q185+Q189+Q190+Q191+Q192</f>
        <v>0</v>
      </c>
      <c r="T194" s="9" t="s">
        <v>50</v>
      </c>
      <c r="U194" s="10" t="s">
        <v>391</v>
      </c>
      <c r="V194" s="11" t="s">
        <v>10</v>
      </c>
      <c r="W194" s="41">
        <f t="shared" ref="W194:AB194" si="23">W169+W174+W177+W180+W185+W189+W190+W191+W192</f>
        <v>0</v>
      </c>
      <c r="X194" s="41">
        <f t="shared" si="23"/>
        <v>0</v>
      </c>
      <c r="Y194" s="41">
        <f t="shared" si="23"/>
        <v>0</v>
      </c>
      <c r="Z194" s="41">
        <f t="shared" si="23"/>
        <v>0</v>
      </c>
      <c r="AA194" s="41">
        <f t="shared" si="23"/>
        <v>0</v>
      </c>
      <c r="AB194" s="86">
        <f t="shared" si="23"/>
        <v>0</v>
      </c>
      <c r="AC194" s="146"/>
      <c r="AD194" s="146"/>
      <c r="AE194" s="425" t="s">
        <v>347</v>
      </c>
      <c r="AF194" s="424"/>
      <c r="AG194" s="1067"/>
      <c r="AH194" s="1067"/>
      <c r="AK194" s="146"/>
      <c r="AL194" s="146"/>
      <c r="AM194" s="146"/>
      <c r="AN194" s="146"/>
    </row>
    <row r="195" spans="2:40" hidden="1" x14ac:dyDescent="0.25">
      <c r="B195" s="12" t="s">
        <v>389</v>
      </c>
      <c r="C195" s="13" t="s">
        <v>96</v>
      </c>
      <c r="D195" s="3" t="s">
        <v>10</v>
      </c>
      <c r="E195" s="329">
        <v>0</v>
      </c>
      <c r="F195" s="458">
        <f>F119</f>
        <v>0</v>
      </c>
      <c r="G195" s="329">
        <v>0</v>
      </c>
      <c r="H195" s="460">
        <f>H119</f>
        <v>0</v>
      </c>
      <c r="K195" s="12" t="s">
        <v>389</v>
      </c>
      <c r="L195" s="13" t="s">
        <v>96</v>
      </c>
      <c r="M195" s="3" t="s">
        <v>10</v>
      </c>
      <c r="N195" s="329">
        <v>0</v>
      </c>
      <c r="O195" s="329">
        <f>IF(Provozování!$V$16="Neaktivní",0,F195)</f>
        <v>0</v>
      </c>
      <c r="P195" s="329">
        <v>0</v>
      </c>
      <c r="Q195" s="330">
        <f>IF(Provozování!$V$16="Neaktivní",0,H195)</f>
        <v>0</v>
      </c>
      <c r="T195" s="42" t="s">
        <v>389</v>
      </c>
      <c r="U195" s="13" t="s">
        <v>96</v>
      </c>
      <c r="V195" s="3" t="s">
        <v>10</v>
      </c>
      <c r="W195" s="458">
        <v>0</v>
      </c>
      <c r="X195" s="329">
        <f>F195</f>
        <v>0</v>
      </c>
      <c r="Y195" s="329">
        <f>W195-X195</f>
        <v>0</v>
      </c>
      <c r="Z195" s="458">
        <v>0</v>
      </c>
      <c r="AA195" s="329">
        <f>H195</f>
        <v>0</v>
      </c>
      <c r="AB195" s="330">
        <f>Z195-AA195</f>
        <v>0</v>
      </c>
      <c r="AC195" s="146"/>
      <c r="AD195" s="146"/>
      <c r="AK195" s="146"/>
      <c r="AL195" s="146"/>
      <c r="AM195" s="146"/>
      <c r="AN195" s="146"/>
    </row>
    <row r="196" spans="2:40" hidden="1" x14ac:dyDescent="0.25">
      <c r="B196" s="12" t="s">
        <v>389</v>
      </c>
      <c r="C196" s="13" t="s">
        <v>97</v>
      </c>
      <c r="D196" s="3" t="s">
        <v>10</v>
      </c>
      <c r="E196" s="329">
        <v>0</v>
      </c>
      <c r="F196" s="458">
        <f>F120</f>
        <v>0</v>
      </c>
      <c r="G196" s="329">
        <v>0</v>
      </c>
      <c r="H196" s="460">
        <f>H120</f>
        <v>0</v>
      </c>
      <c r="K196" s="12" t="s">
        <v>389</v>
      </c>
      <c r="L196" s="13" t="s">
        <v>97</v>
      </c>
      <c r="M196" s="3" t="s">
        <v>10</v>
      </c>
      <c r="N196" s="329">
        <v>0</v>
      </c>
      <c r="O196" s="329">
        <f>IF(Provozování!$V$16="Neaktivní",0,F196)</f>
        <v>0</v>
      </c>
      <c r="P196" s="329">
        <v>0</v>
      </c>
      <c r="Q196" s="330">
        <f>IF(Provozování!$V$16="Neaktivní",0,H196)</f>
        <v>0</v>
      </c>
      <c r="T196" s="12" t="s">
        <v>389</v>
      </c>
      <c r="U196" s="13" t="s">
        <v>97</v>
      </c>
      <c r="V196" s="3" t="s">
        <v>10</v>
      </c>
      <c r="W196" s="458">
        <v>0</v>
      </c>
      <c r="X196" s="329">
        <f>F196</f>
        <v>0</v>
      </c>
      <c r="Y196" s="329">
        <f>W196-X196</f>
        <v>0</v>
      </c>
      <c r="Z196" s="458">
        <v>0</v>
      </c>
      <c r="AA196" s="329">
        <f>H196</f>
        <v>0</v>
      </c>
      <c r="AB196" s="330">
        <f>Z196-AA196</f>
        <v>0</v>
      </c>
      <c r="AC196" s="146"/>
      <c r="AD196" s="146"/>
      <c r="AK196" s="146"/>
      <c r="AL196" s="146"/>
      <c r="AM196" s="146"/>
      <c r="AN196" s="146"/>
    </row>
    <row r="197" spans="2:40" x14ac:dyDescent="0.25">
      <c r="B197" s="12" t="s">
        <v>51</v>
      </c>
      <c r="C197" s="13" t="s">
        <v>54</v>
      </c>
      <c r="D197" s="3" t="s">
        <v>55</v>
      </c>
      <c r="E197" s="331">
        <v>0</v>
      </c>
      <c r="F197" s="459">
        <f>F121</f>
        <v>0</v>
      </c>
      <c r="G197" s="331">
        <v>0</v>
      </c>
      <c r="H197" s="459">
        <f>H121</f>
        <v>0</v>
      </c>
      <c r="K197" s="12" t="s">
        <v>51</v>
      </c>
      <c r="L197" s="13" t="s">
        <v>54</v>
      </c>
      <c r="M197" s="3" t="s">
        <v>55</v>
      </c>
      <c r="N197" s="331">
        <v>0</v>
      </c>
      <c r="O197" s="331">
        <f>IF(Provozování!$V$16="Neaktivní",0,F197)</f>
        <v>0</v>
      </c>
      <c r="P197" s="331">
        <v>0</v>
      </c>
      <c r="Q197" s="332">
        <f>IF(Provozování!$V$16="Neaktivní",0,H197)</f>
        <v>0</v>
      </c>
      <c r="T197" s="12" t="s">
        <v>51</v>
      </c>
      <c r="U197" s="13" t="s">
        <v>54</v>
      </c>
      <c r="V197" s="3" t="s">
        <v>55</v>
      </c>
      <c r="W197" s="466">
        <v>0</v>
      </c>
      <c r="X197" s="331">
        <f>F197</f>
        <v>0</v>
      </c>
      <c r="Y197" s="332">
        <f>W197-X197</f>
        <v>0</v>
      </c>
      <c r="Z197" s="466">
        <v>0</v>
      </c>
      <c r="AA197" s="331">
        <f>H197</f>
        <v>0</v>
      </c>
      <c r="AB197" s="332">
        <f>Z197-AA197</f>
        <v>0</v>
      </c>
      <c r="AC197" s="146"/>
      <c r="AD197" s="146"/>
      <c r="AE197" s="1068" t="s">
        <v>337</v>
      </c>
      <c r="AF197" s="1069"/>
      <c r="AG197" s="1072" t="str">
        <f>IF(AG193&gt;0,"úspora",IF(AG193&lt;0,"ztráta provozovatele","-"))</f>
        <v>-</v>
      </c>
      <c r="AH197" s="1072" t="str">
        <f>IF(AH193&gt;0,"úspora",IF(AH193&lt;0,"ztráta provozovatele","-"))</f>
        <v>-</v>
      </c>
      <c r="AK197" s="146"/>
      <c r="AL197" s="146"/>
      <c r="AM197" s="146"/>
      <c r="AN197" s="146"/>
    </row>
    <row r="198" spans="2:40" x14ac:dyDescent="0.25">
      <c r="B198" s="12" t="s">
        <v>52</v>
      </c>
      <c r="C198" s="13" t="s">
        <v>57</v>
      </c>
      <c r="D198" s="3" t="s">
        <v>58</v>
      </c>
      <c r="E198" s="44">
        <v>0</v>
      </c>
      <c r="F198" s="44">
        <f>IF(YEAR(Postup!$H$25)&gt;$D$156,Provozování!T49,IF(AND(DAY(Postup!$H$25)=31,MONTH(Postup!$H$25)=12,YEAR(Postup!$H$25)=$D$156),Provozování!T49,IF(YEAR(Postup!$H$25)=$D$156,Provozování!$BL49,0)))</f>
        <v>0</v>
      </c>
      <c r="G198" s="44">
        <v>0</v>
      </c>
      <c r="H198" s="334">
        <v>0</v>
      </c>
      <c r="K198" s="12" t="s">
        <v>52</v>
      </c>
      <c r="L198" s="13" t="s">
        <v>57</v>
      </c>
      <c r="M198" s="3" t="s">
        <v>58</v>
      </c>
      <c r="N198" s="44">
        <v>0</v>
      </c>
      <c r="O198" s="44">
        <f>IF(Provozování!$V$16="Neaktivní",0,Provozování!V49)</f>
        <v>0</v>
      </c>
      <c r="P198" s="44">
        <v>0</v>
      </c>
      <c r="Q198" s="334">
        <v>0</v>
      </c>
      <c r="T198" s="12" t="s">
        <v>52</v>
      </c>
      <c r="U198" s="13" t="s">
        <v>57</v>
      </c>
      <c r="V198" s="3" t="s">
        <v>58</v>
      </c>
      <c r="W198" s="462">
        <v>0</v>
      </c>
      <c r="X198" s="44">
        <f>IF(Provozování!$V$16="Neaktivní",F198,O198)</f>
        <v>0</v>
      </c>
      <c r="Y198" s="44">
        <f>W198-X198</f>
        <v>0</v>
      </c>
      <c r="Z198" s="337">
        <v>0</v>
      </c>
      <c r="AA198" s="337">
        <v>0</v>
      </c>
      <c r="AB198" s="334">
        <v>0</v>
      </c>
      <c r="AC198" s="146"/>
      <c r="AD198" s="146"/>
      <c r="AE198" s="1070"/>
      <c r="AF198" s="1071"/>
      <c r="AG198" s="1000"/>
      <c r="AH198" s="1000"/>
      <c r="AK198" s="146"/>
      <c r="AL198" s="146"/>
      <c r="AM198" s="146"/>
      <c r="AN198" s="146"/>
    </row>
    <row r="199" spans="2:40" x14ac:dyDescent="0.25">
      <c r="B199" s="12" t="s">
        <v>53</v>
      </c>
      <c r="C199" s="13" t="s">
        <v>60</v>
      </c>
      <c r="D199" s="3" t="s">
        <v>58</v>
      </c>
      <c r="E199" s="44">
        <v>0</v>
      </c>
      <c r="F199" s="44">
        <f>IF(YEAR(Postup!$H$25)&gt;$D$156,Provozování!T50,IF(AND(DAY(Postup!$H$25)=31,MONTH(Postup!$H$25)=12,YEAR(Postup!$H$25)=$D$156),Provozování!T50,IF(YEAR(Postup!$H$25)=$D$156,Provozování!$BL50,0)))</f>
        <v>0</v>
      </c>
      <c r="G199" s="44">
        <v>0</v>
      </c>
      <c r="H199" s="334">
        <v>0</v>
      </c>
      <c r="K199" s="12" t="s">
        <v>53</v>
      </c>
      <c r="L199" s="13" t="s">
        <v>60</v>
      </c>
      <c r="M199" s="3" t="s">
        <v>58</v>
      </c>
      <c r="N199" s="44">
        <v>0</v>
      </c>
      <c r="O199" s="44">
        <f>IF(Provozování!$V$16="Neaktivní",0,Provozování!V50)</f>
        <v>0</v>
      </c>
      <c r="P199" s="44">
        <v>0</v>
      </c>
      <c r="Q199" s="334">
        <v>0</v>
      </c>
      <c r="T199" s="12" t="s">
        <v>53</v>
      </c>
      <c r="U199" s="13" t="s">
        <v>60</v>
      </c>
      <c r="V199" s="3" t="s">
        <v>58</v>
      </c>
      <c r="W199" s="462">
        <v>0</v>
      </c>
      <c r="X199" s="44">
        <f>IF(Provozování!$V$16="Neaktivní",F199,O199)</f>
        <v>0</v>
      </c>
      <c r="Y199" s="44">
        <f>W199-X199</f>
        <v>0</v>
      </c>
      <c r="Z199" s="337">
        <v>0</v>
      </c>
      <c r="AA199" s="337">
        <v>0</v>
      </c>
      <c r="AB199" s="334">
        <v>0</v>
      </c>
      <c r="AC199" s="146"/>
      <c r="AD199" s="146"/>
      <c r="AE199" s="414" t="s">
        <v>343</v>
      </c>
      <c r="AF199" s="414"/>
      <c r="AG199" s="344">
        <f>IF(AG193&gt;0,AG193/AG190,0)</f>
        <v>0</v>
      </c>
      <c r="AH199" s="344">
        <f>IF(AH193&gt;0,AH193/AH190,0)</f>
        <v>0</v>
      </c>
      <c r="AK199" s="146"/>
      <c r="AL199" s="146"/>
      <c r="AM199" s="146"/>
      <c r="AN199" s="146"/>
    </row>
    <row r="200" spans="2:40" x14ac:dyDescent="0.25">
      <c r="B200" s="12" t="s">
        <v>56</v>
      </c>
      <c r="C200" s="13" t="s">
        <v>62</v>
      </c>
      <c r="D200" s="3" t="s">
        <v>58</v>
      </c>
      <c r="E200" s="44">
        <v>0</v>
      </c>
      <c r="F200" s="337">
        <v>0</v>
      </c>
      <c r="G200" s="44">
        <v>0</v>
      </c>
      <c r="H200" s="30">
        <f>IF(YEAR(Postup!$H$25)&gt;$D$156,Provozování!U51,IF(AND(DAY(Postup!$H$25)=31,MONTH(Postup!$H$25)=12,YEAR(Postup!$H$25)=$D$156),Provozování!U51,IF(YEAR(Postup!$H$25)=$D$156,Provozování!$BM51,0)))</f>
        <v>0</v>
      </c>
      <c r="K200" s="12" t="s">
        <v>56</v>
      </c>
      <c r="L200" s="13" t="s">
        <v>62</v>
      </c>
      <c r="M200" s="3" t="s">
        <v>58</v>
      </c>
      <c r="N200" s="44">
        <v>0</v>
      </c>
      <c r="O200" s="337">
        <v>0</v>
      </c>
      <c r="P200" s="44">
        <v>0</v>
      </c>
      <c r="Q200" s="53">
        <f>IF(Provozování!$V$16="Neaktivní",0,Provozování!W51)</f>
        <v>0</v>
      </c>
      <c r="T200" s="12" t="s">
        <v>56</v>
      </c>
      <c r="U200" s="13" t="s">
        <v>62</v>
      </c>
      <c r="V200" s="3" t="s">
        <v>58</v>
      </c>
      <c r="W200" s="337">
        <v>0</v>
      </c>
      <c r="X200" s="337">
        <v>0</v>
      </c>
      <c r="Y200" s="337">
        <v>0</v>
      </c>
      <c r="Z200" s="462">
        <v>0</v>
      </c>
      <c r="AA200" s="44">
        <f>IF(Provozování!$V$16="Neaktivní",H200,Q200)</f>
        <v>0</v>
      </c>
      <c r="AB200" s="30">
        <f t="shared" ref="AB200:AB205" si="24">Z200-AA200</f>
        <v>0</v>
      </c>
      <c r="AC200" s="146"/>
      <c r="AD200" s="146"/>
      <c r="AE200" s="437" t="s">
        <v>323</v>
      </c>
      <c r="AF200" s="437"/>
      <c r="AG200" s="715"/>
      <c r="AH200" s="715"/>
      <c r="AK200" s="146"/>
      <c r="AL200" s="146"/>
      <c r="AM200" s="146"/>
      <c r="AN200" s="146"/>
    </row>
    <row r="201" spans="2:40" x14ac:dyDescent="0.25">
      <c r="B201" s="12" t="s">
        <v>59</v>
      </c>
      <c r="C201" s="13" t="s">
        <v>60</v>
      </c>
      <c r="D201" s="3" t="s">
        <v>58</v>
      </c>
      <c r="E201" s="44">
        <v>0</v>
      </c>
      <c r="F201" s="337">
        <v>0</v>
      </c>
      <c r="G201" s="44">
        <v>0</v>
      </c>
      <c r="H201" s="30">
        <f>IF(YEAR(Postup!$H$25)&gt;$D$156,Provozování!U52,IF(AND(DAY(Postup!$H$25)=31,MONTH(Postup!$H$25)=12,YEAR(Postup!$H$25)=$D$156),Provozování!U52,IF(YEAR(Postup!$H$25)=$D$156,Provozování!$BM52,0)))</f>
        <v>0</v>
      </c>
      <c r="K201" s="12" t="s">
        <v>59</v>
      </c>
      <c r="L201" s="13" t="s">
        <v>60</v>
      </c>
      <c r="M201" s="3" t="s">
        <v>58</v>
      </c>
      <c r="N201" s="44">
        <v>0</v>
      </c>
      <c r="O201" s="337">
        <v>0</v>
      </c>
      <c r="P201" s="44">
        <v>0</v>
      </c>
      <c r="Q201" s="53">
        <f>IF(Provozování!$V$16="Neaktivní",0,Provozování!W52)</f>
        <v>0</v>
      </c>
      <c r="T201" s="12" t="s">
        <v>59</v>
      </c>
      <c r="U201" s="13" t="s">
        <v>60</v>
      </c>
      <c r="V201" s="3" t="s">
        <v>58</v>
      </c>
      <c r="W201" s="337">
        <v>0</v>
      </c>
      <c r="X201" s="337">
        <v>0</v>
      </c>
      <c r="Y201" s="337">
        <v>0</v>
      </c>
      <c r="Z201" s="462">
        <v>0</v>
      </c>
      <c r="AA201" s="44">
        <f>IF(Provozování!$V$16="Neaktivní",H201,Q201)</f>
        <v>0</v>
      </c>
      <c r="AB201" s="30">
        <f t="shared" si="24"/>
        <v>0</v>
      </c>
      <c r="AC201" s="146"/>
      <c r="AD201" s="146"/>
      <c r="AE201" s="438" t="s">
        <v>334</v>
      </c>
      <c r="AF201" s="438"/>
      <c r="AG201" s="712">
        <f>IF(AG199&gt;0,AG190*AI201*0.5,0)</f>
        <v>0</v>
      </c>
      <c r="AH201" s="712">
        <f>IF(AH199&gt;0,AH190*AJ201*0.5,0)</f>
        <v>0</v>
      </c>
      <c r="AI201" s="345">
        <f>IF(AG199&gt;0.05,0.05,AG199)</f>
        <v>0</v>
      </c>
      <c r="AJ201" s="345">
        <f>IF(AH199&gt;0.05,0.05,AH199)</f>
        <v>0</v>
      </c>
      <c r="AK201" s="146"/>
      <c r="AL201" s="146"/>
      <c r="AM201" s="146"/>
      <c r="AN201" s="146"/>
    </row>
    <row r="202" spans="2:40" x14ac:dyDescent="0.25">
      <c r="B202" s="12" t="s">
        <v>61</v>
      </c>
      <c r="C202" s="13" t="s">
        <v>65</v>
      </c>
      <c r="D202" s="3" t="s">
        <v>58</v>
      </c>
      <c r="E202" s="44">
        <v>0</v>
      </c>
      <c r="F202" s="337">
        <v>0</v>
      </c>
      <c r="G202" s="44">
        <v>0</v>
      </c>
      <c r="H202" s="30">
        <f>IF(YEAR(Postup!$H$25)&gt;$D$156,Provozování!U53,IF(AND(DAY(Postup!$H$25)=31,MONTH(Postup!$H$25)=12,YEAR(Postup!$H$25)=$D$156),Provozování!U53,IF(YEAR(Postup!$H$25)=$D$156,Provozování!$BM53,0)))</f>
        <v>0</v>
      </c>
      <c r="K202" s="12" t="s">
        <v>61</v>
      </c>
      <c r="L202" s="13" t="s">
        <v>65</v>
      </c>
      <c r="M202" s="3" t="s">
        <v>58</v>
      </c>
      <c r="N202" s="44">
        <v>0</v>
      </c>
      <c r="O202" s="337">
        <v>0</v>
      </c>
      <c r="P202" s="44">
        <v>0</v>
      </c>
      <c r="Q202" s="53">
        <f>IF(Provozování!$V$16="Neaktivní",0,Provozování!W53)</f>
        <v>0</v>
      </c>
      <c r="T202" s="12" t="s">
        <v>61</v>
      </c>
      <c r="U202" s="13" t="s">
        <v>65</v>
      </c>
      <c r="V202" s="3" t="s">
        <v>58</v>
      </c>
      <c r="W202" s="337">
        <v>0</v>
      </c>
      <c r="X202" s="337">
        <v>0</v>
      </c>
      <c r="Y202" s="337">
        <v>0</v>
      </c>
      <c r="Z202" s="462">
        <v>0</v>
      </c>
      <c r="AA202" s="44">
        <f>IF(Provozování!$V$16="Neaktivní",H202,Q202)</f>
        <v>0</v>
      </c>
      <c r="AB202" s="30">
        <f t="shared" si="24"/>
        <v>0</v>
      </c>
      <c r="AC202" s="146"/>
      <c r="AD202" s="146"/>
      <c r="AE202" s="415" t="s">
        <v>335</v>
      </c>
      <c r="AF202" s="415"/>
      <c r="AG202" s="270">
        <f>IF(AI202&gt;0,AG190*(AI202-0.05)*0.8,0)</f>
        <v>0</v>
      </c>
      <c r="AH202" s="270">
        <f>IF(AJ202&gt;0,AH190*(AJ202-0.05)*0.8,0)</f>
        <v>0</v>
      </c>
      <c r="AI202" s="345">
        <f>IF(AND(AG199&gt;0.05,AG199&lt;=0.1),AG199,IF(AG199&lt;=0.05,0,0.1))</f>
        <v>0</v>
      </c>
      <c r="AJ202" s="345">
        <f>IF(AND(AH199&gt;0.05,AH199&lt;=0.1),AH199,IF(AH199&lt;=0.05,0,0.1))</f>
        <v>0</v>
      </c>
      <c r="AK202" s="146"/>
      <c r="AL202" s="146"/>
      <c r="AM202" s="146"/>
      <c r="AN202" s="146"/>
    </row>
    <row r="203" spans="2:40" x14ac:dyDescent="0.25">
      <c r="B203" s="12" t="s">
        <v>63</v>
      </c>
      <c r="C203" s="13" t="s">
        <v>67</v>
      </c>
      <c r="D203" s="3" t="s">
        <v>58</v>
      </c>
      <c r="E203" s="44">
        <v>0</v>
      </c>
      <c r="F203" s="337">
        <v>0</v>
      </c>
      <c r="G203" s="44">
        <v>0</v>
      </c>
      <c r="H203" s="30">
        <f>IF(YEAR(Postup!$H$25)&gt;$D$156,Provozování!U54,IF(AND(DAY(Postup!$H$25)=31,MONTH(Postup!$H$25)=12,YEAR(Postup!$H$25)=$D$156),Provozování!U54,IF(YEAR(Postup!$H$25)=$D$156,Provozování!$BM54,0)))</f>
        <v>0</v>
      </c>
      <c r="K203" s="12" t="s">
        <v>63</v>
      </c>
      <c r="L203" s="13" t="s">
        <v>67</v>
      </c>
      <c r="M203" s="3" t="s">
        <v>58</v>
      </c>
      <c r="N203" s="44">
        <v>0</v>
      </c>
      <c r="O203" s="337">
        <v>0</v>
      </c>
      <c r="P203" s="44">
        <v>0</v>
      </c>
      <c r="Q203" s="53">
        <f>IF(Provozování!$V$16="Neaktivní",0,Provozování!W54)</f>
        <v>0</v>
      </c>
      <c r="T203" s="12" t="s">
        <v>63</v>
      </c>
      <c r="U203" s="13" t="s">
        <v>67</v>
      </c>
      <c r="V203" s="3" t="s">
        <v>58</v>
      </c>
      <c r="W203" s="337">
        <v>0</v>
      </c>
      <c r="X203" s="337">
        <v>0</v>
      </c>
      <c r="Y203" s="337">
        <v>0</v>
      </c>
      <c r="Z203" s="462">
        <v>0</v>
      </c>
      <c r="AA203" s="44">
        <f>IF(Provozování!$V$16="Neaktivní",H203,Q203)</f>
        <v>0</v>
      </c>
      <c r="AB203" s="30">
        <f t="shared" si="24"/>
        <v>0</v>
      </c>
      <c r="AC203" s="146"/>
      <c r="AD203" s="146"/>
      <c r="AE203" s="415" t="s">
        <v>336</v>
      </c>
      <c r="AF203" s="415"/>
      <c r="AG203" s="270">
        <f>IF(AI203&gt;0,AG190*(AI203-0.1)*1,0)</f>
        <v>0</v>
      </c>
      <c r="AH203" s="270">
        <f>IF(AJ203&gt;0,AH190*(AJ203-0.1)*1,0)</f>
        <v>0</v>
      </c>
      <c r="AI203" s="345">
        <f>IF(AG199&gt;0.1,AG199,0)</f>
        <v>0</v>
      </c>
      <c r="AJ203" s="345">
        <f>IF(AH199&gt;0.1,AH199,0)</f>
        <v>0</v>
      </c>
      <c r="AK203" s="146"/>
      <c r="AL203" s="146"/>
      <c r="AM203" s="146"/>
      <c r="AN203" s="146"/>
    </row>
    <row r="204" spans="2:40" x14ac:dyDescent="0.25">
      <c r="B204" s="12" t="s">
        <v>64</v>
      </c>
      <c r="C204" s="13" t="s">
        <v>68</v>
      </c>
      <c r="D204" s="3" t="s">
        <v>58</v>
      </c>
      <c r="E204" s="44">
        <v>0</v>
      </c>
      <c r="F204" s="44">
        <f>IF(YEAR(Postup!$H$25)&gt;$D$156,Provozování!T55,IF(AND(DAY(Postup!$H$25)=31,MONTH(Postup!$H$25)=12,YEAR(Postup!$H$25)=$D$156),Provozování!T55,IF(YEAR(Postup!$H$25)=$D$156,Provozování!$BL55,0)))</f>
        <v>0</v>
      </c>
      <c r="G204" s="44">
        <v>0</v>
      </c>
      <c r="H204" s="30">
        <f>IF(YEAR(Postup!$H$25)&gt;$D$156,Provozování!U55,IF(AND(DAY(Postup!$H$25)=31,MONTH(Postup!$H$25)=12,YEAR(Postup!$H$25)=$D$156),Provozování!U55,IF(YEAR(Postup!$H$25)=$D$156,Provozování!$BM55,0)))</f>
        <v>0</v>
      </c>
      <c r="K204" s="12" t="s">
        <v>64</v>
      </c>
      <c r="L204" s="13" t="s">
        <v>68</v>
      </c>
      <c r="M204" s="3" t="s">
        <v>58</v>
      </c>
      <c r="N204" s="44">
        <v>0</v>
      </c>
      <c r="O204" s="44">
        <f>IF(Provozování!$V$16="Neaktivní",0,Provozování!V55)</f>
        <v>0</v>
      </c>
      <c r="P204" s="44">
        <v>0</v>
      </c>
      <c r="Q204" s="53">
        <f>IF(Provozování!$V$16="Neaktivní",0,Provozování!W55)</f>
        <v>0</v>
      </c>
      <c r="T204" s="12" t="s">
        <v>64</v>
      </c>
      <c r="U204" s="13" t="s">
        <v>68</v>
      </c>
      <c r="V204" s="3" t="s">
        <v>58</v>
      </c>
      <c r="W204" s="462">
        <v>0</v>
      </c>
      <c r="X204" s="44">
        <f>IF(Provozování!$V$16="Neaktivní",F204,O204)</f>
        <v>0</v>
      </c>
      <c r="Y204" s="44">
        <f>W204-X204</f>
        <v>0</v>
      </c>
      <c r="Z204" s="462">
        <v>0</v>
      </c>
      <c r="AA204" s="44">
        <f>IF(Provozování!$V$16="Neaktivní",H204,Q204)</f>
        <v>0</v>
      </c>
      <c r="AB204" s="30">
        <f t="shared" si="24"/>
        <v>0</v>
      </c>
      <c r="AC204" s="146"/>
      <c r="AD204" s="146"/>
      <c r="AE204" s="413" t="s">
        <v>324</v>
      </c>
      <c r="AF204" s="413"/>
      <c r="AG204" s="346">
        <f>SUM(AG201:AG203)</f>
        <v>0</v>
      </c>
      <c r="AH204" s="346">
        <f>SUM(AH201:AH203)</f>
        <v>0</v>
      </c>
      <c r="AK204" s="146"/>
      <c r="AL204" s="146"/>
      <c r="AM204" s="146"/>
      <c r="AN204" s="146"/>
    </row>
    <row r="205" spans="2:40" x14ac:dyDescent="0.25">
      <c r="B205" s="12" t="s">
        <v>66</v>
      </c>
      <c r="C205" s="13" t="s">
        <v>69</v>
      </c>
      <c r="D205" s="3" t="s">
        <v>58</v>
      </c>
      <c r="E205" s="44">
        <v>0</v>
      </c>
      <c r="F205" s="44">
        <f>IF(YEAR(Postup!$H$25)&gt;$D$156,Provozování!T56,IF(AND(DAY(Postup!$H$25)=31,MONTH(Postup!$H$25)=12,YEAR(Postup!$H$25)=$D$156),Provozování!T56,IF(YEAR(Postup!$H$25)=$D$156,Provozování!$BL56,0)))</f>
        <v>0</v>
      </c>
      <c r="G205" s="44">
        <v>0</v>
      </c>
      <c r="H205" s="30">
        <f>IF(YEAR(Postup!$H$25)&gt;$D$156,Provozování!U56,IF(AND(DAY(Postup!$H$25)=31,MONTH(Postup!$H$25)=12,YEAR(Postup!$H$25)=$D$156),Provozování!U56,IF(YEAR(Postup!$H$25)=$D$156,Provozování!$BM56,0)))</f>
        <v>0</v>
      </c>
      <c r="K205" s="12" t="s">
        <v>66</v>
      </c>
      <c r="L205" s="13" t="s">
        <v>69</v>
      </c>
      <c r="M205" s="3" t="s">
        <v>58</v>
      </c>
      <c r="N205" s="44">
        <v>0</v>
      </c>
      <c r="O205" s="44">
        <f>IF(Provozování!$V$16="Neaktivní",0,Provozování!V56)</f>
        <v>0</v>
      </c>
      <c r="P205" s="44">
        <v>0</v>
      </c>
      <c r="Q205" s="30">
        <f>IF(Provozování!$V$16="Neaktivní",0,Provozování!W56)</f>
        <v>0</v>
      </c>
      <c r="T205" s="12" t="s">
        <v>66</v>
      </c>
      <c r="U205" s="13" t="s">
        <v>69</v>
      </c>
      <c r="V205" s="3" t="s">
        <v>58</v>
      </c>
      <c r="W205" s="462">
        <v>0</v>
      </c>
      <c r="X205" s="44">
        <f>IF(Provozování!$V$16="Neaktivní",F205,O205)</f>
        <v>0</v>
      </c>
      <c r="Y205" s="44">
        <f>W205-X205</f>
        <v>0</v>
      </c>
      <c r="Z205" s="462">
        <v>0</v>
      </c>
      <c r="AA205" s="44">
        <f>IF(Provozování!$V$16="Neaktivní",H205,Q205)</f>
        <v>0</v>
      </c>
      <c r="AB205" s="30">
        <f t="shared" si="24"/>
        <v>0</v>
      </c>
      <c r="AC205" s="146"/>
      <c r="AD205" s="146"/>
      <c r="AE205" s="146"/>
      <c r="AF205" s="146"/>
      <c r="AG205" s="146"/>
      <c r="AH205" s="146"/>
      <c r="AI205" s="146"/>
      <c r="AJ205" s="146"/>
      <c r="AK205" s="146"/>
      <c r="AL205" s="146"/>
      <c r="AM205" s="146"/>
      <c r="AN205" s="146"/>
    </row>
    <row r="206" spans="2:40" x14ac:dyDescent="0.25">
      <c r="B206" s="1"/>
      <c r="C206" s="1"/>
      <c r="D206" s="1"/>
      <c r="E206" s="1"/>
      <c r="F206" s="347"/>
      <c r="G206" s="1"/>
      <c r="H206" s="347"/>
      <c r="K206" s="1"/>
      <c r="L206" s="1"/>
      <c r="M206" s="1"/>
      <c r="N206" s="1"/>
      <c r="O206" s="1"/>
      <c r="P206" s="1"/>
      <c r="Q206" s="1"/>
      <c r="T206" s="1"/>
      <c r="U206" s="1"/>
      <c r="V206" s="1"/>
      <c r="W206" s="1"/>
      <c r="X206" s="1"/>
      <c r="Y206" s="1"/>
      <c r="Z206" s="1"/>
      <c r="AA206" s="1"/>
      <c r="AB206" s="1"/>
      <c r="AC206" s="146"/>
      <c r="AD206" s="146"/>
      <c r="AE206" s="146"/>
      <c r="AF206" s="146"/>
      <c r="AG206" s="146"/>
      <c r="AH206" s="146"/>
      <c r="AI206" s="146"/>
      <c r="AJ206" s="146"/>
      <c r="AK206" s="146"/>
      <c r="AL206" s="146"/>
      <c r="AM206" s="146"/>
      <c r="AN206" s="146"/>
    </row>
    <row r="207" spans="2:40" x14ac:dyDescent="0.25">
      <c r="B207" s="1052" t="s">
        <v>5</v>
      </c>
      <c r="C207" s="884" t="s">
        <v>70</v>
      </c>
      <c r="D207" s="868"/>
      <c r="E207" s="1082"/>
      <c r="F207" s="1083"/>
      <c r="G207" s="868"/>
      <c r="H207" s="869"/>
      <c r="K207" s="1052" t="s">
        <v>5</v>
      </c>
      <c r="L207" s="884" t="s">
        <v>70</v>
      </c>
      <c r="M207" s="868"/>
      <c r="N207" s="1082"/>
      <c r="O207" s="1083"/>
      <c r="P207" s="868"/>
      <c r="Q207" s="869"/>
      <c r="T207" s="1098" t="s">
        <v>5</v>
      </c>
      <c r="U207" s="884" t="s">
        <v>70</v>
      </c>
      <c r="V207" s="868"/>
      <c r="W207" s="1082"/>
      <c r="X207" s="1082"/>
      <c r="Y207" s="1083"/>
      <c r="Z207" s="868"/>
      <c r="AA207" s="868"/>
      <c r="AB207" s="869"/>
      <c r="AC207" s="146"/>
      <c r="AD207" s="146"/>
      <c r="AE207" s="146"/>
      <c r="AF207" s="146"/>
      <c r="AG207" s="146"/>
      <c r="AH207" s="146"/>
      <c r="AI207" s="146"/>
      <c r="AJ207" s="146"/>
      <c r="AK207" s="146"/>
      <c r="AL207" s="146"/>
      <c r="AM207" s="146"/>
      <c r="AN207" s="146"/>
    </row>
    <row r="208" spans="2:40" x14ac:dyDescent="0.25">
      <c r="B208" s="1053"/>
      <c r="C208" s="1052" t="s">
        <v>71</v>
      </c>
      <c r="D208" s="1065" t="s">
        <v>133</v>
      </c>
      <c r="E208" s="1085" t="s">
        <v>102</v>
      </c>
      <c r="F208" s="1086"/>
      <c r="G208" s="85" t="s">
        <v>3</v>
      </c>
      <c r="H208" s="23" t="s">
        <v>4</v>
      </c>
      <c r="K208" s="1053"/>
      <c r="L208" s="5" t="s">
        <v>71</v>
      </c>
      <c r="M208" s="1065" t="s">
        <v>133</v>
      </c>
      <c r="N208" s="1085" t="s">
        <v>102</v>
      </c>
      <c r="O208" s="1086"/>
      <c r="P208" s="85" t="s">
        <v>3</v>
      </c>
      <c r="Q208" s="23" t="s">
        <v>4</v>
      </c>
      <c r="T208" s="1099"/>
      <c r="U208" s="1052" t="s">
        <v>71</v>
      </c>
      <c r="V208" s="1065" t="s">
        <v>133</v>
      </c>
      <c r="W208" s="1085" t="s">
        <v>102</v>
      </c>
      <c r="X208" s="1086"/>
      <c r="Y208" s="1085" t="s">
        <v>3</v>
      </c>
      <c r="Z208" s="1101"/>
      <c r="AA208" s="1102" t="s">
        <v>4</v>
      </c>
      <c r="AB208" s="1102"/>
      <c r="AC208" s="146"/>
      <c r="AD208" s="146"/>
      <c r="AE208" s="146"/>
      <c r="AF208" s="146"/>
      <c r="AG208" s="146"/>
      <c r="AH208" s="146"/>
      <c r="AI208" s="146"/>
      <c r="AJ208" s="146"/>
      <c r="AK208" s="146"/>
      <c r="AL208" s="146"/>
      <c r="AM208" s="146"/>
      <c r="AN208" s="146"/>
    </row>
    <row r="209" spans="2:40" x14ac:dyDescent="0.25">
      <c r="B209" s="1054"/>
      <c r="C209" s="1054"/>
      <c r="D209" s="1084"/>
      <c r="E209" s="1087"/>
      <c r="F209" s="1088"/>
      <c r="G209" s="26" t="s">
        <v>7</v>
      </c>
      <c r="H209" s="24" t="s">
        <v>7</v>
      </c>
      <c r="K209" s="1054"/>
      <c r="L209" s="8"/>
      <c r="M209" s="1084"/>
      <c r="N209" s="1087"/>
      <c r="O209" s="1088"/>
      <c r="P209" s="26" t="s">
        <v>7</v>
      </c>
      <c r="Q209" s="24" t="s">
        <v>7</v>
      </c>
      <c r="T209" s="1100"/>
      <c r="U209" s="1054"/>
      <c r="V209" s="1084"/>
      <c r="W209" s="1087"/>
      <c r="X209" s="1088"/>
      <c r="Y209" s="37" t="s">
        <v>148</v>
      </c>
      <c r="Z209" s="37" t="s">
        <v>7</v>
      </c>
      <c r="AA209" s="37" t="s">
        <v>148</v>
      </c>
      <c r="AB209" s="37" t="s">
        <v>7</v>
      </c>
      <c r="AC209" s="146"/>
      <c r="AD209" s="146"/>
      <c r="AE209" s="146"/>
      <c r="AF209" s="146"/>
      <c r="AG209" s="146"/>
      <c r="AH209" s="146"/>
      <c r="AI209" s="146"/>
      <c r="AJ209" s="146"/>
      <c r="AK209" s="146"/>
      <c r="AL209" s="146"/>
      <c r="AM209" s="146"/>
      <c r="AN209" s="146"/>
    </row>
    <row r="210" spans="2:40" x14ac:dyDescent="0.25">
      <c r="B210" s="11">
        <v>1</v>
      </c>
      <c r="C210" s="11">
        <v>2</v>
      </c>
      <c r="D210" s="11" t="s">
        <v>95</v>
      </c>
      <c r="E210" s="873" t="s">
        <v>99</v>
      </c>
      <c r="F210" s="874"/>
      <c r="G210" s="11" t="s">
        <v>100</v>
      </c>
      <c r="H210" s="22" t="s">
        <v>101</v>
      </c>
      <c r="K210" s="11">
        <v>1</v>
      </c>
      <c r="L210" s="11">
        <v>2</v>
      </c>
      <c r="M210" s="11" t="s">
        <v>95</v>
      </c>
      <c r="N210" s="873" t="s">
        <v>99</v>
      </c>
      <c r="O210" s="874"/>
      <c r="P210" s="11" t="s">
        <v>100</v>
      </c>
      <c r="Q210" s="22" t="s">
        <v>101</v>
      </c>
      <c r="T210" s="11">
        <v>1</v>
      </c>
      <c r="U210" s="11">
        <v>2</v>
      </c>
      <c r="V210" s="11" t="s">
        <v>95</v>
      </c>
      <c r="W210" s="1096" t="s">
        <v>99</v>
      </c>
      <c r="X210" s="1097"/>
      <c r="Y210" s="11" t="s">
        <v>153</v>
      </c>
      <c r="Z210" s="11" t="s">
        <v>100</v>
      </c>
      <c r="AA210" s="11" t="s">
        <v>152</v>
      </c>
      <c r="AB210" s="22" t="s">
        <v>101</v>
      </c>
      <c r="AC210" s="146"/>
      <c r="AD210" s="146"/>
      <c r="AE210" s="146"/>
      <c r="AF210" s="146"/>
      <c r="AG210" s="146"/>
      <c r="AH210" s="146"/>
      <c r="AI210" s="146"/>
      <c r="AJ210" s="146"/>
      <c r="AK210" s="146"/>
      <c r="AL210" s="146"/>
      <c r="AM210" s="146"/>
      <c r="AN210" s="146"/>
    </row>
    <row r="211" spans="2:40" ht="14.45" customHeight="1" x14ac:dyDescent="0.25">
      <c r="B211" s="12" t="s">
        <v>72</v>
      </c>
      <c r="C211" s="13" t="s">
        <v>104</v>
      </c>
      <c r="D211" s="13" t="s">
        <v>73</v>
      </c>
      <c r="E211" s="875" t="s">
        <v>403</v>
      </c>
      <c r="F211" s="1048"/>
      <c r="G211" s="137">
        <f>IF(F198=0,IF(F204&lt;&gt;0,F194/F204,0),F194/F198)</f>
        <v>0</v>
      </c>
      <c r="H211" s="138">
        <f>IF((H200+H202)=0,IF(H205&lt;&gt;0,H194/H205,0),H194/(H200+H202))</f>
        <v>0</v>
      </c>
      <c r="K211" s="12" t="s">
        <v>72</v>
      </c>
      <c r="L211" s="13" t="s">
        <v>104</v>
      </c>
      <c r="M211" s="13" t="s">
        <v>73</v>
      </c>
      <c r="N211" s="875" t="s">
        <v>403</v>
      </c>
      <c r="O211" s="1048"/>
      <c r="P211" s="137">
        <f>IF(O198=0,IF(O204&lt;&gt;0,O194/O204,0),O194/O198)</f>
        <v>0</v>
      </c>
      <c r="Q211" s="138">
        <f>IF((Q200+Q202)=0,IF(Q205&lt;&gt;0,Q194/Q205,0),Q194/(Q200+Q202))</f>
        <v>0</v>
      </c>
      <c r="T211" s="12" t="s">
        <v>72</v>
      </c>
      <c r="U211" s="13" t="s">
        <v>104</v>
      </c>
      <c r="V211" s="13" t="s">
        <v>73</v>
      </c>
      <c r="W211" s="875" t="s">
        <v>403</v>
      </c>
      <c r="X211" s="1048"/>
      <c r="Y211" s="137">
        <f>IF(W198=0,IF(W204&lt;&gt;0,W194/W204,0),W194/W198)</f>
        <v>0</v>
      </c>
      <c r="Z211" s="137">
        <f>IF(X198=0,IF(X204&lt;&gt;0,X194/X204,0),X194/X198)</f>
        <v>0</v>
      </c>
      <c r="AA211" s="137">
        <f>IF((Z200+Z202)=0,IF(Z205&lt;&gt;0,Z194/Z205,0),Z194/(Z200+Z202))</f>
        <v>0</v>
      </c>
      <c r="AB211" s="138">
        <f>IF((AA200+AA202)=0,IF(AA205&lt;&gt;0,AA194/AA205,0),AA194/(AA200+AA202))</f>
        <v>0</v>
      </c>
      <c r="AC211" s="146"/>
      <c r="AD211" s="146"/>
      <c r="AE211" s="146"/>
      <c r="AF211" s="146"/>
      <c r="AG211" s="146"/>
      <c r="AH211" s="146"/>
      <c r="AI211" s="146"/>
      <c r="AJ211" s="146"/>
      <c r="AK211" s="146"/>
      <c r="AL211" s="146"/>
      <c r="AM211" s="146"/>
      <c r="AN211" s="146"/>
    </row>
    <row r="212" spans="2:40" x14ac:dyDescent="0.25">
      <c r="B212" s="12" t="s">
        <v>74</v>
      </c>
      <c r="C212" s="13" t="s">
        <v>358</v>
      </c>
      <c r="D212" s="13" t="s">
        <v>10</v>
      </c>
      <c r="E212" s="858" t="s">
        <v>404</v>
      </c>
      <c r="F212" s="870"/>
      <c r="G212" s="340">
        <f>G213+G214</f>
        <v>0</v>
      </c>
      <c r="H212" s="341">
        <f>H213+H214</f>
        <v>0</v>
      </c>
      <c r="K212" s="12" t="s">
        <v>74</v>
      </c>
      <c r="L212" s="13" t="s">
        <v>358</v>
      </c>
      <c r="M212" s="13" t="s">
        <v>10</v>
      </c>
      <c r="N212" s="858" t="s">
        <v>404</v>
      </c>
      <c r="O212" s="870"/>
      <c r="P212" s="340">
        <f>P213+P214</f>
        <v>0</v>
      </c>
      <c r="Q212" s="341">
        <f>Q213+Q214</f>
        <v>0</v>
      </c>
      <c r="T212" s="12" t="s">
        <v>74</v>
      </c>
      <c r="U212" s="13" t="s">
        <v>358</v>
      </c>
      <c r="V212" s="13" t="s">
        <v>10</v>
      </c>
      <c r="W212" s="858" t="s">
        <v>404</v>
      </c>
      <c r="X212" s="870"/>
      <c r="Y212" s="340">
        <f>Y213+Y214</f>
        <v>0</v>
      </c>
      <c r="Z212" s="340">
        <f>Z213+Z214</f>
        <v>0</v>
      </c>
      <c r="AA212" s="340">
        <f>AA213+AA214</f>
        <v>0</v>
      </c>
      <c r="AB212" s="341">
        <f>AB213+AB214</f>
        <v>0</v>
      </c>
      <c r="AC212" s="146"/>
      <c r="AD212" s="146"/>
      <c r="AE212" s="146"/>
      <c r="AF212" s="146"/>
      <c r="AG212" s="146"/>
      <c r="AH212" s="146"/>
      <c r="AI212" s="146"/>
      <c r="AJ212" s="146"/>
      <c r="AK212" s="146"/>
      <c r="AL212" s="146"/>
      <c r="AM212" s="146"/>
      <c r="AN212" s="146"/>
    </row>
    <row r="213" spans="2:40" x14ac:dyDescent="0.25">
      <c r="B213" s="12" t="s">
        <v>352</v>
      </c>
      <c r="C213" s="13" t="s">
        <v>359</v>
      </c>
      <c r="D213" s="13" t="s">
        <v>10</v>
      </c>
      <c r="E213" s="871"/>
      <c r="F213" s="872"/>
      <c r="G213" s="340">
        <f>IF(YEAR(Postup!$H$25)&gt;$D$156,Provozování!$T84,IF(AND(DAY(Postup!$H$25)=31,MONTH(Postup!$H$25)=12,YEAR(Postup!$H$25)=$D$156),Provozování!$T84,IF(YEAR(Postup!$H$25)=$D$156,Provozování!$BL84,0)))</f>
        <v>0</v>
      </c>
      <c r="H213" s="341">
        <f>IF(YEAR(Postup!$H$25)&gt;$D$156,Provozování!$U84,IF(AND(DAY(Postup!$H$25)=31,MONTH(Postup!$H$25)=12,YEAR(Postup!$H$25)=$D$156),Provozování!$U84,IF(YEAR(Postup!$H$25)=$D$156,Provozování!$BM84,0)))</f>
        <v>0</v>
      </c>
      <c r="K213" s="12" t="s">
        <v>352</v>
      </c>
      <c r="L213" s="13" t="s">
        <v>359</v>
      </c>
      <c r="M213" s="13" t="s">
        <v>10</v>
      </c>
      <c r="N213" s="871"/>
      <c r="O213" s="872"/>
      <c r="P213" s="340">
        <f>IF(Provozování!$V$16="Neaktivní",0,Provozování!V84)</f>
        <v>0</v>
      </c>
      <c r="Q213" s="341">
        <f>IF(Provozování!$V$16="Neaktivní",0,Provozování!W84)</f>
        <v>0</v>
      </c>
      <c r="T213" s="12" t="s">
        <v>352</v>
      </c>
      <c r="U213" s="13" t="s">
        <v>359</v>
      </c>
      <c r="V213" s="13" t="s">
        <v>10</v>
      </c>
      <c r="W213" s="871"/>
      <c r="X213" s="872"/>
      <c r="Y213" s="340">
        <f>Z213</f>
        <v>0</v>
      </c>
      <c r="Z213" s="340">
        <f>IF(Provozování!$V$16="Neaktivní",G213,P213)</f>
        <v>0</v>
      </c>
      <c r="AA213" s="340">
        <f>AB213</f>
        <v>0</v>
      </c>
      <c r="AB213" s="341">
        <f>IF(Provozování!$V$16="Neaktivní",H213,Q213)</f>
        <v>0</v>
      </c>
      <c r="AC213" s="146"/>
      <c r="AD213" s="146"/>
      <c r="AE213" s="146"/>
      <c r="AF213" s="146"/>
      <c r="AG213" s="146"/>
      <c r="AH213" s="146"/>
      <c r="AI213" s="146"/>
      <c r="AJ213" s="146"/>
      <c r="AK213" s="146"/>
      <c r="AL213" s="146"/>
      <c r="AM213" s="146"/>
      <c r="AN213" s="146"/>
    </row>
    <row r="214" spans="2:40" x14ac:dyDescent="0.25">
      <c r="B214" s="12" t="s">
        <v>361</v>
      </c>
      <c r="C214" s="13" t="s">
        <v>360</v>
      </c>
      <c r="D214" s="13" t="s">
        <v>10</v>
      </c>
      <c r="E214" s="884"/>
      <c r="F214" s="869"/>
      <c r="G214" s="340">
        <f>IF(YEAR(Postup!$H$25)&gt;$D$156,((-1)*(Provozování!T102)),IF(AND(DAY(Postup!$H$25)=31,MONTH(Postup!$H$25)=12,YEAR(Postup!$H$25)=$D$156),((-1)*(Provozování!T102)),IF(YEAR(Postup!$H$25)=$D$156,((-1)*(Provozování!T102)),0)))</f>
        <v>0</v>
      </c>
      <c r="H214" s="341">
        <f>IF(YEAR(Postup!$H$25)&gt;$D$156,((-1)*(Provozování!U102)),IF(AND(DAY(Postup!$H$25)=31,MONTH(Postup!$H$25)=12,YEAR(Postup!$H$25)=$D$156),((-1)*(Provozování!U102)),IF(YEAR(Postup!$H$25)=$D$156,((-1)*(Provozování!U102)),0)))</f>
        <v>0</v>
      </c>
      <c r="K214" s="12" t="s">
        <v>361</v>
      </c>
      <c r="L214" s="13" t="s">
        <v>360</v>
      </c>
      <c r="M214" s="13" t="s">
        <v>10</v>
      </c>
      <c r="N214" s="884"/>
      <c r="O214" s="869"/>
      <c r="P214" s="340">
        <f>IF(Provozování!$V$16="Neaktivní",0,((-1)*(Provozování!T102)))</f>
        <v>0</v>
      </c>
      <c r="Q214" s="341">
        <f>IF(Provozování!$V$16="Neaktivní",0,((-1)*(Provozování!U102)))</f>
        <v>0</v>
      </c>
      <c r="T214" s="12" t="s">
        <v>361</v>
      </c>
      <c r="U214" s="13" t="s">
        <v>360</v>
      </c>
      <c r="V214" s="13" t="s">
        <v>10</v>
      </c>
      <c r="W214" s="884"/>
      <c r="X214" s="869"/>
      <c r="Y214" s="340">
        <f>Z214</f>
        <v>0</v>
      </c>
      <c r="Z214" s="340">
        <f>IF(Provozování!$V$16="Neaktivní",G214,P214)</f>
        <v>0</v>
      </c>
      <c r="AA214" s="340">
        <f>AB214</f>
        <v>0</v>
      </c>
      <c r="AB214" s="341">
        <f>IF(Provozování!$V$16="Neaktivní",H214,Q214)</f>
        <v>0</v>
      </c>
      <c r="AC214" s="146"/>
      <c r="AD214" s="146"/>
      <c r="AE214" s="146"/>
      <c r="AF214" s="146"/>
      <c r="AG214" s="146"/>
      <c r="AH214" s="146"/>
      <c r="AI214" s="146"/>
      <c r="AJ214" s="146"/>
      <c r="AK214" s="146"/>
      <c r="AL214" s="146"/>
      <c r="AM214" s="146"/>
      <c r="AN214" s="146"/>
    </row>
    <row r="215" spans="2:40" x14ac:dyDescent="0.25">
      <c r="B215" s="12" t="s">
        <v>75</v>
      </c>
      <c r="C215" s="13" t="s">
        <v>396</v>
      </c>
      <c r="D215" s="13" t="s">
        <v>10</v>
      </c>
      <c r="E215" s="858" t="s">
        <v>405</v>
      </c>
      <c r="F215" s="870"/>
      <c r="G215" s="340">
        <f>F194+G212</f>
        <v>0</v>
      </c>
      <c r="H215" s="341">
        <f>H194+H212</f>
        <v>0</v>
      </c>
      <c r="K215" s="12" t="s">
        <v>75</v>
      </c>
      <c r="L215" s="13" t="s">
        <v>396</v>
      </c>
      <c r="M215" s="13" t="s">
        <v>10</v>
      </c>
      <c r="N215" s="858" t="s">
        <v>405</v>
      </c>
      <c r="O215" s="870"/>
      <c r="P215" s="340">
        <f>O194+P212</f>
        <v>0</v>
      </c>
      <c r="Q215" s="341">
        <f>Q194+Q212</f>
        <v>0</v>
      </c>
      <c r="T215" s="12" t="s">
        <v>75</v>
      </c>
      <c r="U215" s="13" t="s">
        <v>396</v>
      </c>
      <c r="V215" s="13" t="s">
        <v>10</v>
      </c>
      <c r="W215" s="858" t="s">
        <v>405</v>
      </c>
      <c r="X215" s="870"/>
      <c r="Y215" s="14">
        <f>W194+Y212</f>
        <v>0</v>
      </c>
      <c r="Z215" s="14">
        <f>X194+Z212</f>
        <v>0</v>
      </c>
      <c r="AA215" s="14">
        <f>Z194+AA212</f>
        <v>0</v>
      </c>
      <c r="AB215" s="15">
        <f>AA194+AB212</f>
        <v>0</v>
      </c>
      <c r="AC215" s="146"/>
      <c r="AD215" s="146"/>
      <c r="AE215" s="146"/>
      <c r="AF215" s="146"/>
      <c r="AG215" s="146"/>
      <c r="AH215" s="146"/>
      <c r="AI215" s="146"/>
      <c r="AJ215" s="146"/>
      <c r="AK215" s="146"/>
      <c r="AL215" s="146"/>
      <c r="AM215" s="146"/>
      <c r="AN215" s="146"/>
    </row>
    <row r="216" spans="2:40" x14ac:dyDescent="0.25">
      <c r="B216" s="12" t="s">
        <v>76</v>
      </c>
      <c r="C216" s="13" t="s">
        <v>373</v>
      </c>
      <c r="D216" s="13" t="s">
        <v>10</v>
      </c>
      <c r="E216" s="858"/>
      <c r="F216" s="859"/>
      <c r="G216" s="340">
        <f>IF(YEAR(Postup!$H$25)&gt;$D$156,Provozování!T$87,IF(AND(DAY(Postup!$H$25)=31,MONTH(Postup!$H$25)=12,YEAR(Postup!$H$25)=$D$156),Provozování!T$87,IF(YEAR(Postup!$H$25)=$D$156,Provozování!$BL87,0)))</f>
        <v>0</v>
      </c>
      <c r="H216" s="341">
        <f>IF(YEAR(Postup!$H$25)&gt;$D$156,Provozování!U$87,IF(AND(DAY(Postup!$H$25)=31,MONTH(Postup!$H$25)=12,YEAR(Postup!$H$25)=$D$156),Provozování!U$87,IF(YEAR(Postup!$H$25)=$D$156,Provozování!$BM87,0)))</f>
        <v>0</v>
      </c>
      <c r="K216" s="210" t="s">
        <v>76</v>
      </c>
      <c r="L216" s="244" t="s">
        <v>373</v>
      </c>
      <c r="M216" s="244" t="s">
        <v>10</v>
      </c>
      <c r="N216" s="858"/>
      <c r="O216" s="859"/>
      <c r="P216" s="341">
        <f>IF(Provozování!$V$16="Neaktivní",0,Provozování!V87)</f>
        <v>0</v>
      </c>
      <c r="Q216" s="341">
        <f>IF(Provozování!$V$16="Neaktivní",0,Provozování!W87)</f>
        <v>0</v>
      </c>
      <c r="T216" s="12" t="s">
        <v>76</v>
      </c>
      <c r="U216" s="13" t="s">
        <v>373</v>
      </c>
      <c r="V216" s="13" t="s">
        <v>10</v>
      </c>
      <c r="W216" s="858"/>
      <c r="X216" s="859"/>
      <c r="Y216" s="462">
        <f>IF(Provozování!V16="Aktivní",Provozování!V87,Provozování!T87)</f>
        <v>2.3999896640999999E-2</v>
      </c>
      <c r="Z216" s="14">
        <f>IF(Provozování!$V$16="Neaktivní",G216,P216)</f>
        <v>0</v>
      </c>
      <c r="AA216" s="462">
        <f>IF(Provozování!V16="Aktivní",Provozování!W87,Provozování!U87)</f>
        <v>0.100000278</v>
      </c>
      <c r="AB216" s="15">
        <f>IF(Provozování!$V$16="Neaktivní",H216,Q216)</f>
        <v>0</v>
      </c>
      <c r="AC216" s="146"/>
      <c r="AD216" s="146"/>
      <c r="AE216" s="146"/>
      <c r="AF216" s="146"/>
      <c r="AG216" s="146"/>
      <c r="AH216" s="146"/>
      <c r="AI216" s="146"/>
      <c r="AJ216" s="146"/>
      <c r="AK216" s="146"/>
      <c r="AL216" s="146"/>
      <c r="AM216" s="146"/>
      <c r="AN216" s="146"/>
    </row>
    <row r="217" spans="2:40" ht="14.45" customHeight="1" x14ac:dyDescent="0.25">
      <c r="B217" s="12" t="s">
        <v>78</v>
      </c>
      <c r="C217" s="21" t="s">
        <v>402</v>
      </c>
      <c r="D217" s="13" t="s">
        <v>77</v>
      </c>
      <c r="E217" s="875" t="s">
        <v>406</v>
      </c>
      <c r="F217" s="1048"/>
      <c r="G217" s="137">
        <f>IF(G215=0,0,G216/G215*100)</f>
        <v>0</v>
      </c>
      <c r="H217" s="138">
        <f>IF(H215=0,0,H216/H215*100)</f>
        <v>0</v>
      </c>
      <c r="K217" s="210" t="s">
        <v>78</v>
      </c>
      <c r="L217" s="531" t="s">
        <v>402</v>
      </c>
      <c r="M217" s="244" t="s">
        <v>77</v>
      </c>
      <c r="N217" s="875" t="s">
        <v>406</v>
      </c>
      <c r="O217" s="1048"/>
      <c r="P217" s="138">
        <f>IF(P215=0,0,P216/P215*100)</f>
        <v>0</v>
      </c>
      <c r="Q217" s="138">
        <f>IF(Q215=0,0,Q216/Q215*100)</f>
        <v>0</v>
      </c>
      <c r="T217" s="12" t="s">
        <v>78</v>
      </c>
      <c r="U217" s="21" t="s">
        <v>402</v>
      </c>
      <c r="V217" s="13" t="s">
        <v>77</v>
      </c>
      <c r="W217" s="875" t="s">
        <v>406</v>
      </c>
      <c r="X217" s="1048"/>
      <c r="Y217" s="137">
        <f>IF(Y215=0,0,Y216/Y215*100)</f>
        <v>0</v>
      </c>
      <c r="Z217" s="137">
        <f>IF(Z215=0,0,Z216/Z215*100)</f>
        <v>0</v>
      </c>
      <c r="AA217" s="137">
        <f>IF(AA215=0,0,AA216/AA215*100)</f>
        <v>0</v>
      </c>
      <c r="AB217" s="138">
        <f>IF(AB215=0,0,AB216/AB215*100)</f>
        <v>0</v>
      </c>
      <c r="AC217" s="146"/>
      <c r="AD217" s="146"/>
      <c r="AE217" s="146"/>
      <c r="AF217" s="146"/>
      <c r="AG217" s="146"/>
      <c r="AH217" s="146"/>
      <c r="AI217" s="146"/>
      <c r="AJ217" s="146"/>
      <c r="AK217" s="146"/>
      <c r="AL217" s="146"/>
      <c r="AM217" s="146"/>
      <c r="AN217" s="146"/>
    </row>
    <row r="218" spans="2:40" x14ac:dyDescent="0.25">
      <c r="B218" s="210" t="s">
        <v>79</v>
      </c>
      <c r="C218" s="531" t="s">
        <v>408</v>
      </c>
      <c r="D218" s="244" t="s">
        <v>10</v>
      </c>
      <c r="E218" s="858" t="s">
        <v>407</v>
      </c>
      <c r="F218" s="870"/>
      <c r="G218" s="111">
        <v>0</v>
      </c>
      <c r="H218" s="111">
        <v>0</v>
      </c>
      <c r="K218" s="210" t="s">
        <v>79</v>
      </c>
      <c r="L218" s="531" t="s">
        <v>408</v>
      </c>
      <c r="M218" s="244" t="s">
        <v>10</v>
      </c>
      <c r="N218" s="858" t="s">
        <v>407</v>
      </c>
      <c r="O218" s="870"/>
      <c r="P218" s="111">
        <v>0</v>
      </c>
      <c r="Q218" s="111">
        <v>0</v>
      </c>
      <c r="T218" s="12" t="s">
        <v>79</v>
      </c>
      <c r="U218" s="21" t="s">
        <v>408</v>
      </c>
      <c r="V218" s="13" t="s">
        <v>10</v>
      </c>
      <c r="W218" s="858" t="s">
        <v>407</v>
      </c>
      <c r="X218" s="870"/>
      <c r="Y218" s="337">
        <v>0</v>
      </c>
      <c r="Z218" s="337">
        <v>0</v>
      </c>
      <c r="AA218" s="337">
        <v>0</v>
      </c>
      <c r="AB218" s="334">
        <v>0</v>
      </c>
      <c r="AC218" s="146"/>
      <c r="AD218" s="146"/>
      <c r="AE218" s="146"/>
      <c r="AF218" s="146"/>
      <c r="AG218" s="146"/>
      <c r="AH218" s="146"/>
      <c r="AI218" s="146"/>
      <c r="AJ218" s="146"/>
      <c r="AK218" s="146"/>
      <c r="AL218" s="146"/>
      <c r="AM218" s="146"/>
      <c r="AN218" s="146"/>
    </row>
    <row r="219" spans="2:40" x14ac:dyDescent="0.25">
      <c r="B219" s="210" t="s">
        <v>80</v>
      </c>
      <c r="C219" s="532" t="s">
        <v>354</v>
      </c>
      <c r="D219" s="244"/>
      <c r="E219" s="858" t="s">
        <v>409</v>
      </c>
      <c r="F219" s="870"/>
      <c r="G219" s="111">
        <f>G216-G218</f>
        <v>0</v>
      </c>
      <c r="H219" s="111">
        <f>H216-H218</f>
        <v>0</v>
      </c>
      <c r="K219" s="210" t="s">
        <v>80</v>
      </c>
      <c r="L219" s="532" t="s">
        <v>354</v>
      </c>
      <c r="M219" s="244"/>
      <c r="N219" s="858" t="s">
        <v>409</v>
      </c>
      <c r="O219" s="870"/>
      <c r="P219" s="111">
        <f>P216-P218</f>
        <v>0</v>
      </c>
      <c r="Q219" s="111">
        <f>Q216-Q218</f>
        <v>0</v>
      </c>
      <c r="T219" s="12" t="s">
        <v>80</v>
      </c>
      <c r="U219" s="497" t="s">
        <v>354</v>
      </c>
      <c r="V219" s="13"/>
      <c r="W219" s="858" t="s">
        <v>409</v>
      </c>
      <c r="X219" s="870"/>
      <c r="Y219" s="337">
        <f>Y216-Y218</f>
        <v>2.3999896640999999E-2</v>
      </c>
      <c r="Z219" s="337">
        <f>Z216-Z218</f>
        <v>0</v>
      </c>
      <c r="AA219" s="337">
        <f>AA216-AA218</f>
        <v>0.100000278</v>
      </c>
      <c r="AB219" s="334">
        <f>AB216-AB218</f>
        <v>0</v>
      </c>
      <c r="AC219" s="146"/>
      <c r="AD219" s="146"/>
      <c r="AE219" s="146"/>
      <c r="AF219" s="146"/>
      <c r="AG219" s="146"/>
      <c r="AH219" s="146"/>
      <c r="AI219" s="146"/>
      <c r="AJ219" s="146"/>
      <c r="AK219" s="146"/>
      <c r="AL219" s="146"/>
      <c r="AM219" s="146"/>
      <c r="AN219" s="146"/>
    </row>
    <row r="220" spans="2:40" x14ac:dyDescent="0.25">
      <c r="B220" s="210" t="s">
        <v>82</v>
      </c>
      <c r="C220" s="244" t="s">
        <v>395</v>
      </c>
      <c r="D220" s="244" t="s">
        <v>10</v>
      </c>
      <c r="E220" s="858" t="s">
        <v>410</v>
      </c>
      <c r="F220" s="870"/>
      <c r="G220" s="341">
        <f>G215+G216</f>
        <v>0</v>
      </c>
      <c r="H220" s="341">
        <f>H215+H216</f>
        <v>0</v>
      </c>
      <c r="K220" s="210" t="s">
        <v>82</v>
      </c>
      <c r="L220" s="244" t="s">
        <v>395</v>
      </c>
      <c r="M220" s="244" t="s">
        <v>10</v>
      </c>
      <c r="N220" s="858" t="s">
        <v>410</v>
      </c>
      <c r="O220" s="870"/>
      <c r="P220" s="341">
        <f>P215+P216</f>
        <v>0</v>
      </c>
      <c r="Q220" s="341">
        <f>Q215+Q216</f>
        <v>0</v>
      </c>
      <c r="T220" s="12" t="s">
        <v>82</v>
      </c>
      <c r="U220" s="13" t="s">
        <v>395</v>
      </c>
      <c r="V220" s="13" t="s">
        <v>10</v>
      </c>
      <c r="W220" s="858" t="s">
        <v>410</v>
      </c>
      <c r="X220" s="870"/>
      <c r="Y220" s="340">
        <f>Y215+Y216</f>
        <v>2.3999896640999999E-2</v>
      </c>
      <c r="Z220" s="340">
        <f>Z215+Z216</f>
        <v>0</v>
      </c>
      <c r="AA220" s="340">
        <f>AA215+AA216</f>
        <v>0.100000278</v>
      </c>
      <c r="AB220" s="341">
        <f>AB215+AB216</f>
        <v>0</v>
      </c>
      <c r="AC220" s="146"/>
      <c r="AD220" s="146"/>
      <c r="AE220" s="146"/>
      <c r="AF220" s="146"/>
      <c r="AG220" s="146"/>
      <c r="AH220" s="146"/>
      <c r="AI220" s="146"/>
      <c r="AJ220" s="146"/>
      <c r="AK220" s="146"/>
      <c r="AL220" s="146"/>
      <c r="AM220" s="146"/>
      <c r="AN220" s="146"/>
    </row>
    <row r="221" spans="2:40" x14ac:dyDescent="0.25">
      <c r="B221" s="210" t="s">
        <v>83</v>
      </c>
      <c r="C221" s="244" t="s">
        <v>81</v>
      </c>
      <c r="D221" s="244" t="s">
        <v>58</v>
      </c>
      <c r="E221" s="858" t="s">
        <v>411</v>
      </c>
      <c r="F221" s="870"/>
      <c r="G221" s="341">
        <f>IF(F198=0,F204,F198)</f>
        <v>0</v>
      </c>
      <c r="H221" s="341">
        <f>IF(H200+H202=0,H205,H200+H202)</f>
        <v>0</v>
      </c>
      <c r="K221" s="210" t="s">
        <v>83</v>
      </c>
      <c r="L221" s="244" t="s">
        <v>81</v>
      </c>
      <c r="M221" s="244" t="s">
        <v>58</v>
      </c>
      <c r="N221" s="858" t="s">
        <v>411</v>
      </c>
      <c r="O221" s="870"/>
      <c r="P221" s="341">
        <f>IF(O198=0,O204,O198)</f>
        <v>0</v>
      </c>
      <c r="Q221" s="341">
        <f>IF(Q200+Q202=0,Q205,Q200+Q202)</f>
        <v>0</v>
      </c>
      <c r="T221" s="12" t="s">
        <v>83</v>
      </c>
      <c r="U221" s="13" t="s">
        <v>81</v>
      </c>
      <c r="V221" s="13" t="s">
        <v>58</v>
      </c>
      <c r="W221" s="858" t="s">
        <v>411</v>
      </c>
      <c r="X221" s="870"/>
      <c r="Y221" s="14">
        <f>IF(W198=0,W204,W198)</f>
        <v>0</v>
      </c>
      <c r="Z221" s="14">
        <f>IF(X198=0,X204,X198)</f>
        <v>0</v>
      </c>
      <c r="AA221" s="14">
        <f>IF(Z200+Z202=0,Z205,Z200+Z202)</f>
        <v>0</v>
      </c>
      <c r="AB221" s="15">
        <f>IF(AA200+AA202=0,AA205,AA200+AA202)</f>
        <v>0</v>
      </c>
      <c r="AC221" s="146"/>
      <c r="AD221" s="146"/>
      <c r="AE221" s="146"/>
      <c r="AF221" s="146"/>
      <c r="AG221" s="146"/>
      <c r="AH221" s="146"/>
      <c r="AI221" s="146"/>
      <c r="AJ221" s="146"/>
      <c r="AK221" s="146"/>
      <c r="AL221" s="146"/>
      <c r="AM221" s="146"/>
      <c r="AN221" s="146"/>
    </row>
    <row r="222" spans="2:40" x14ac:dyDescent="0.25">
      <c r="B222" s="210" t="s">
        <v>155</v>
      </c>
      <c r="C222" s="244" t="s">
        <v>393</v>
      </c>
      <c r="D222" s="244" t="s">
        <v>73</v>
      </c>
      <c r="E222" s="858" t="s">
        <v>412</v>
      </c>
      <c r="F222" s="870"/>
      <c r="G222" s="138">
        <f>IF(G221=0,0,G220/G221)</f>
        <v>0</v>
      </c>
      <c r="H222" s="138">
        <f>IF(H221=0,0,H220/H221)</f>
        <v>0</v>
      </c>
      <c r="K222" s="210" t="s">
        <v>155</v>
      </c>
      <c r="L222" s="244" t="s">
        <v>393</v>
      </c>
      <c r="M222" s="244" t="s">
        <v>73</v>
      </c>
      <c r="N222" s="858" t="s">
        <v>412</v>
      </c>
      <c r="O222" s="870"/>
      <c r="P222" s="138">
        <f>IF(P221=0,0,P220/P221)</f>
        <v>0</v>
      </c>
      <c r="Q222" s="138">
        <f>IF(Q221=0,0,Q220/Q221)</f>
        <v>0</v>
      </c>
      <c r="T222" s="12" t="s">
        <v>155</v>
      </c>
      <c r="U222" s="13" t="s">
        <v>393</v>
      </c>
      <c r="V222" s="13" t="s">
        <v>73</v>
      </c>
      <c r="W222" s="858" t="s">
        <v>412</v>
      </c>
      <c r="X222" s="870"/>
      <c r="Y222" s="137">
        <f>IF(Y221=0,0,Y220/Y221)</f>
        <v>0</v>
      </c>
      <c r="Z222" s="137">
        <f>IF(Z221=0,0,Z220/Z221)</f>
        <v>0</v>
      </c>
      <c r="AA222" s="137">
        <f>IF(AA221=0,0,AA220/AA221)</f>
        <v>0</v>
      </c>
      <c r="AB222" s="138">
        <f>IF(AB221=0,0,AB220/AB221)</f>
        <v>0</v>
      </c>
      <c r="AC222" s="146"/>
      <c r="AD222" s="146"/>
      <c r="AE222" s="146"/>
      <c r="AF222" s="146"/>
      <c r="AG222" s="146"/>
      <c r="AH222" s="146"/>
      <c r="AI222" s="146"/>
      <c r="AJ222" s="146"/>
      <c r="AK222" s="146"/>
      <c r="AL222" s="146"/>
      <c r="AM222" s="146"/>
      <c r="AN222" s="146"/>
    </row>
    <row r="223" spans="2:40" x14ac:dyDescent="0.25">
      <c r="B223" s="210" t="s">
        <v>355</v>
      </c>
      <c r="C223" s="244" t="str">
        <f>CONCATENATE("UPLATŇOVANÁ CENA pro vodné, stočné +",Provozování!T97*100,"% DPH")</f>
        <v>UPLATŇOVANÁ CENA pro vodné, stočné +10% DPH</v>
      </c>
      <c r="D223" s="244" t="s">
        <v>73</v>
      </c>
      <c r="E223" s="858" t="s">
        <v>413</v>
      </c>
      <c r="F223" s="870"/>
      <c r="G223" s="138">
        <f>G222*(1+Provozování!T$97)</f>
        <v>0</v>
      </c>
      <c r="H223" s="138">
        <f>H222*(1+Provozování!U$97)</f>
        <v>0</v>
      </c>
      <c r="K223" s="210" t="s">
        <v>355</v>
      </c>
      <c r="L223" s="244" t="str">
        <f>C223</f>
        <v>UPLATŇOVANÁ CENA pro vodné, stočné +10% DPH</v>
      </c>
      <c r="M223" s="244" t="s">
        <v>73</v>
      </c>
      <c r="N223" s="858" t="s">
        <v>413</v>
      </c>
      <c r="O223" s="870"/>
      <c r="P223" s="138">
        <f>P222*(1+Provozování!T$97)</f>
        <v>0</v>
      </c>
      <c r="Q223" s="138">
        <f>Q222*(1+Provozování!U$97)</f>
        <v>0</v>
      </c>
      <c r="T223" s="12" t="s">
        <v>355</v>
      </c>
      <c r="U223" s="13" t="str">
        <f>C223</f>
        <v>UPLATŇOVANÁ CENA pro vodné, stočné +10% DPH</v>
      </c>
      <c r="V223" s="13" t="s">
        <v>73</v>
      </c>
      <c r="W223" s="858" t="s">
        <v>413</v>
      </c>
      <c r="X223" s="870"/>
      <c r="Y223" s="137">
        <f>Y222*(1+Provozování!T$97)</f>
        <v>0</v>
      </c>
      <c r="Z223" s="137">
        <f>Z222*(1+Provozování!U$97)</f>
        <v>0</v>
      </c>
      <c r="AA223" s="137">
        <f>AA222*(1+Provozování!T$97)</f>
        <v>0</v>
      </c>
      <c r="AB223" s="138">
        <f>AB222*(1+Provozování!U$97)</f>
        <v>0</v>
      </c>
      <c r="AC223" s="146"/>
      <c r="AD223" s="146"/>
      <c r="AE223" s="146"/>
      <c r="AF223" s="146"/>
      <c r="AG223" s="146"/>
      <c r="AH223" s="146"/>
      <c r="AI223" s="146"/>
      <c r="AJ223" s="146"/>
      <c r="AK223" s="146"/>
      <c r="AL223" s="146"/>
      <c r="AM223" s="146"/>
      <c r="AN223" s="146"/>
    </row>
    <row r="224" spans="2:40" x14ac:dyDescent="0.25">
      <c r="B224" s="210" t="s">
        <v>356</v>
      </c>
      <c r="C224" s="244" t="s">
        <v>357</v>
      </c>
      <c r="D224" s="244" t="s">
        <v>73</v>
      </c>
      <c r="E224" s="884" t="s">
        <v>414</v>
      </c>
      <c r="F224" s="869"/>
      <c r="G224" s="138">
        <v>0</v>
      </c>
      <c r="H224" s="138">
        <v>0</v>
      </c>
      <c r="K224" s="210" t="s">
        <v>356</v>
      </c>
      <c r="L224" s="244" t="s">
        <v>357</v>
      </c>
      <c r="M224" s="244" t="s">
        <v>73</v>
      </c>
      <c r="N224" s="884" t="s">
        <v>414</v>
      </c>
      <c r="O224" s="869"/>
      <c r="P224" s="138">
        <v>0</v>
      </c>
      <c r="Q224" s="138">
        <v>0</v>
      </c>
      <c r="T224" s="528" t="s">
        <v>356</v>
      </c>
      <c r="U224" s="2" t="s">
        <v>357</v>
      </c>
      <c r="V224" s="2" t="s">
        <v>73</v>
      </c>
      <c r="W224" s="884" t="s">
        <v>414</v>
      </c>
      <c r="X224" s="869"/>
      <c r="Y224" s="529">
        <v>0</v>
      </c>
      <c r="Z224" s="529">
        <v>0</v>
      </c>
      <c r="AA224" s="529">
        <v>0</v>
      </c>
      <c r="AB224" s="530">
        <v>0</v>
      </c>
      <c r="AC224" s="146"/>
      <c r="AD224" s="146"/>
      <c r="AE224" s="146"/>
      <c r="AF224" s="146"/>
      <c r="AG224" s="146"/>
      <c r="AH224" s="146"/>
      <c r="AI224" s="146"/>
      <c r="AJ224" s="146"/>
      <c r="AK224" s="146"/>
      <c r="AL224" s="146"/>
      <c r="AM224" s="146"/>
      <c r="AN224" s="146"/>
    </row>
    <row r="225" spans="1:40" ht="19.5" x14ac:dyDescent="0.25">
      <c r="T225" s="1089" t="s">
        <v>155</v>
      </c>
      <c r="U225" s="1089" t="s">
        <v>154</v>
      </c>
      <c r="V225" s="882" t="s">
        <v>10</v>
      </c>
      <c r="W225" s="854" t="s">
        <v>156</v>
      </c>
      <c r="X225" s="858"/>
      <c r="Y225" s="89" t="s">
        <v>158</v>
      </c>
      <c r="Z225" s="92" t="s">
        <v>159</v>
      </c>
      <c r="AA225" s="89" t="s">
        <v>158</v>
      </c>
      <c r="AB225" s="92" t="s">
        <v>159</v>
      </c>
      <c r="AC225" s="146"/>
      <c r="AD225" s="146"/>
      <c r="AE225" s="146"/>
      <c r="AF225" s="146"/>
      <c r="AG225" s="146"/>
      <c r="AH225" s="146"/>
      <c r="AI225" s="146"/>
      <c r="AJ225" s="146"/>
      <c r="AK225" s="146"/>
      <c r="AL225" s="146"/>
      <c r="AM225" s="146"/>
      <c r="AN225" s="146"/>
    </row>
    <row r="226" spans="1:40" x14ac:dyDescent="0.25">
      <c r="B226" s="383" t="s">
        <v>283</v>
      </c>
      <c r="T226" s="1090"/>
      <c r="U226" s="1090"/>
      <c r="V226" s="1092"/>
      <c r="W226" s="1093">
        <v>0</v>
      </c>
      <c r="X226" s="1094"/>
      <c r="Y226" s="90">
        <f>W156</f>
        <v>2026</v>
      </c>
      <c r="Z226" s="90">
        <f>W156</f>
        <v>2026</v>
      </c>
      <c r="AA226" s="90">
        <f>W156</f>
        <v>2026</v>
      </c>
      <c r="AB226" s="90">
        <f>W156</f>
        <v>2026</v>
      </c>
      <c r="AC226" s="146"/>
      <c r="AD226" s="146"/>
      <c r="AE226" s="146"/>
      <c r="AF226" s="146"/>
      <c r="AG226" s="146"/>
      <c r="AH226" s="146"/>
      <c r="AI226" s="146"/>
      <c r="AJ226" s="146"/>
      <c r="AK226" s="146"/>
      <c r="AL226" s="146"/>
      <c r="AM226" s="146"/>
      <c r="AN226" s="146"/>
    </row>
    <row r="227" spans="1:40" x14ac:dyDescent="0.25">
      <c r="B227" s="383" t="s">
        <v>284</v>
      </c>
      <c r="T227" s="1090"/>
      <c r="U227" s="1090"/>
      <c r="V227" s="1092"/>
      <c r="W227" s="854" t="s">
        <v>157</v>
      </c>
      <c r="X227" s="858"/>
      <c r="Y227" s="91" t="s">
        <v>160</v>
      </c>
      <c r="Z227" s="91" t="s">
        <v>160</v>
      </c>
      <c r="AA227" s="91" t="s">
        <v>161</v>
      </c>
      <c r="AB227" s="91" t="s">
        <v>161</v>
      </c>
      <c r="AC227" s="146"/>
      <c r="AD227" s="146"/>
      <c r="AE227" s="146"/>
      <c r="AF227" s="146"/>
      <c r="AG227" s="146"/>
      <c r="AH227" s="146"/>
      <c r="AI227" s="146"/>
      <c r="AJ227" s="146"/>
      <c r="AK227" s="146"/>
      <c r="AL227" s="146"/>
      <c r="AM227" s="146"/>
      <c r="AN227" s="146"/>
    </row>
    <row r="228" spans="1:40" x14ac:dyDescent="0.25">
      <c r="T228" s="1091"/>
      <c r="U228" s="1091"/>
      <c r="V228" s="883"/>
      <c r="W228" s="1095">
        <v>0</v>
      </c>
      <c r="X228" s="1093"/>
      <c r="Y228" s="464">
        <v>0</v>
      </c>
      <c r="Z228" s="464">
        <v>0</v>
      </c>
      <c r="AA228" s="464">
        <v>0</v>
      </c>
      <c r="AB228" s="464">
        <v>0</v>
      </c>
      <c r="AC228" s="146"/>
      <c r="AD228" s="146"/>
      <c r="AE228" s="146"/>
      <c r="AF228" s="146"/>
      <c r="AG228" s="146"/>
      <c r="AH228" s="146"/>
      <c r="AI228" s="146"/>
      <c r="AJ228" s="146"/>
      <c r="AK228" s="146"/>
      <c r="AL228" s="146"/>
      <c r="AM228" s="146"/>
      <c r="AN228" s="146"/>
    </row>
    <row r="229" spans="1:40" x14ac:dyDescent="0.25">
      <c r="A229" s="252"/>
      <c r="B229" s="29"/>
      <c r="C229" s="29"/>
      <c r="D229" s="29"/>
      <c r="E229" s="29"/>
      <c r="F229" s="29"/>
      <c r="G229" s="29"/>
      <c r="H229" s="29"/>
      <c r="I229" s="29"/>
      <c r="J229" s="29"/>
      <c r="K229" s="29"/>
      <c r="L229" s="29"/>
      <c r="M229" s="29"/>
      <c r="N229" s="29"/>
      <c r="O229" s="29"/>
      <c r="P229" s="29"/>
      <c r="Q229" s="29"/>
      <c r="R229" s="29"/>
      <c r="AC229" s="146"/>
      <c r="AD229" s="146"/>
      <c r="AE229" s="146"/>
      <c r="AF229" s="146"/>
      <c r="AG229" s="338"/>
      <c r="AH229" s="338"/>
    </row>
    <row r="230" spans="1:40" x14ac:dyDescent="0.25">
      <c r="B230" s="899" t="s">
        <v>316</v>
      </c>
      <c r="C230" s="900"/>
      <c r="D230" s="900"/>
      <c r="E230" s="900"/>
      <c r="F230" s="900"/>
      <c r="G230" s="900"/>
      <c r="H230" s="900"/>
      <c r="K230" s="899" t="s">
        <v>317</v>
      </c>
      <c r="L230" s="900"/>
      <c r="M230" s="900"/>
      <c r="N230" s="900"/>
      <c r="O230" s="900"/>
      <c r="P230" s="900"/>
      <c r="Q230" s="900"/>
      <c r="T230" s="899" t="s">
        <v>162</v>
      </c>
      <c r="U230" s="900"/>
      <c r="V230" s="900"/>
      <c r="W230" s="900"/>
      <c r="X230" s="900"/>
      <c r="Y230" s="900"/>
      <c r="Z230" s="900"/>
      <c r="AA230" s="900"/>
      <c r="AB230" s="900"/>
      <c r="AC230" s="146"/>
      <c r="AD230" s="146"/>
      <c r="AK230" s="146"/>
      <c r="AL230" s="146"/>
      <c r="AM230" s="146"/>
      <c r="AN230" s="146"/>
    </row>
    <row r="231" spans="1:40" x14ac:dyDescent="0.25">
      <c r="C231" s="272"/>
      <c r="E231" s="25"/>
      <c r="F231" s="25"/>
      <c r="L231" s="25"/>
      <c r="N231" s="25"/>
      <c r="T231" s="1079" t="s">
        <v>318</v>
      </c>
      <c r="U231" s="1079"/>
      <c r="V231" s="1079"/>
      <c r="W231" s="1079"/>
      <c r="X231" s="1079"/>
      <c r="Y231" s="1079"/>
      <c r="Z231" s="1079"/>
      <c r="AA231" s="1079"/>
      <c r="AB231" s="1079"/>
      <c r="AC231" s="146"/>
      <c r="AD231" s="146"/>
      <c r="AK231" s="146"/>
      <c r="AL231" s="146"/>
      <c r="AM231" s="146"/>
      <c r="AN231" s="146"/>
    </row>
    <row r="232" spans="1:40" x14ac:dyDescent="0.25">
      <c r="C232" s="272" t="s">
        <v>103</v>
      </c>
      <c r="D232" s="274">
        <f>D156+1</f>
        <v>2027</v>
      </c>
      <c r="E232" s="25"/>
      <c r="F232" s="272" t="s">
        <v>221</v>
      </c>
      <c r="G232" s="275" t="str">
        <f>Výpočty!K$48</f>
        <v>-</v>
      </c>
      <c r="H232" s="275" t="str">
        <f>IF(Výpočty!K$49="-"," ",CONCATENATE("- ",DAY(Výpočty!K$49),".",MONTH(Výpočty!K$49),".",D232))</f>
        <v xml:space="preserve"> </v>
      </c>
      <c r="L232" s="272" t="s">
        <v>103</v>
      </c>
      <c r="M232" s="274">
        <f>D232</f>
        <v>2027</v>
      </c>
      <c r="O232" s="272" t="s">
        <v>221</v>
      </c>
      <c r="P232" s="360" t="str">
        <f>Výpočty!K$44</f>
        <v>-</v>
      </c>
      <c r="Q232" s="360" t="str">
        <f>IF(P232="-"," ",H232)</f>
        <v xml:space="preserve"> </v>
      </c>
      <c r="T232" s="333"/>
      <c r="U232" s="333"/>
      <c r="V232" s="342" t="s">
        <v>147</v>
      </c>
      <c r="W232" s="274">
        <f>D232</f>
        <v>2027</v>
      </c>
      <c r="Z232" s="272" t="s">
        <v>221</v>
      </c>
      <c r="AA232" s="275" t="str">
        <f>G232</f>
        <v>-</v>
      </c>
      <c r="AB232" s="275" t="str">
        <f>H232</f>
        <v xml:space="preserve"> </v>
      </c>
      <c r="AC232" s="146"/>
      <c r="AD232" s="146"/>
      <c r="AK232" s="146"/>
      <c r="AL232" s="146"/>
      <c r="AM232" s="146"/>
      <c r="AN232" s="146"/>
    </row>
    <row r="233" spans="1:40" x14ac:dyDescent="0.25">
      <c r="B233" s="13" t="s">
        <v>66</v>
      </c>
      <c r="C233" s="13" t="s">
        <v>89</v>
      </c>
      <c r="D233" s="902" t="str">
        <f t="shared" ref="D233:D238" si="25">D157</f>
        <v>PRVOK s.r.o., IČ 281 28 257</v>
      </c>
      <c r="E233" s="903"/>
      <c r="F233" s="903"/>
      <c r="G233" s="903"/>
      <c r="H233" s="904"/>
      <c r="K233" s="13" t="s">
        <v>66</v>
      </c>
      <c r="L233" s="13" t="s">
        <v>89</v>
      </c>
      <c r="M233" s="1080" t="str">
        <f>D233</f>
        <v>PRVOK s.r.o., IČ 281 28 257</v>
      </c>
      <c r="N233" s="1081"/>
      <c r="O233" s="1081"/>
      <c r="P233" s="1081"/>
      <c r="Q233" s="1081"/>
      <c r="T233" s="13" t="s">
        <v>66</v>
      </c>
      <c r="U233" s="13" t="s">
        <v>89</v>
      </c>
      <c r="V233" s="1080" t="str">
        <f>D233</f>
        <v>PRVOK s.r.o., IČ 281 28 257</v>
      </c>
      <c r="W233" s="1081"/>
      <c r="X233" s="1081"/>
      <c r="Y233" s="1081"/>
      <c r="Z233" s="1081"/>
      <c r="AA233" s="1081"/>
      <c r="AB233" s="1081"/>
      <c r="AC233" s="146"/>
      <c r="AD233" s="146"/>
      <c r="AK233" s="146"/>
      <c r="AL233" s="146"/>
      <c r="AM233" s="146"/>
      <c r="AN233" s="146"/>
    </row>
    <row r="234" spans="1:40" x14ac:dyDescent="0.25">
      <c r="B234" s="13" t="s">
        <v>84</v>
      </c>
      <c r="C234" s="13" t="s">
        <v>90</v>
      </c>
      <c r="D234" s="902" t="str">
        <f t="shared" si="25"/>
        <v>PRVOK s.r.o., IČ 281 28 257</v>
      </c>
      <c r="E234" s="903"/>
      <c r="F234" s="903"/>
      <c r="G234" s="903"/>
      <c r="H234" s="904"/>
      <c r="K234" s="13" t="s">
        <v>84</v>
      </c>
      <c r="L234" s="13" t="s">
        <v>90</v>
      </c>
      <c r="M234" s="1061" t="str">
        <f>D234</f>
        <v>PRVOK s.r.o., IČ 281 28 257</v>
      </c>
      <c r="N234" s="1062"/>
      <c r="O234" s="1062"/>
      <c r="P234" s="1062"/>
      <c r="Q234" s="1063"/>
      <c r="T234" s="13" t="s">
        <v>84</v>
      </c>
      <c r="U234" s="13" t="s">
        <v>90</v>
      </c>
      <c r="V234" s="1061" t="str">
        <f>D234</f>
        <v>PRVOK s.r.o., IČ 281 28 257</v>
      </c>
      <c r="W234" s="1062"/>
      <c r="X234" s="1062"/>
      <c r="Y234" s="1062"/>
      <c r="Z234" s="1062"/>
      <c r="AA234" s="1062"/>
      <c r="AB234" s="1063"/>
      <c r="AC234" s="146"/>
      <c r="AD234" s="146"/>
      <c r="AK234" s="146"/>
      <c r="AL234" s="146"/>
      <c r="AM234" s="146"/>
      <c r="AN234" s="146"/>
    </row>
    <row r="235" spans="1:40" x14ac:dyDescent="0.25">
      <c r="B235" s="13" t="s">
        <v>85</v>
      </c>
      <c r="C235" s="13" t="s">
        <v>91</v>
      </c>
      <c r="D235" s="902" t="str">
        <f t="shared" si="25"/>
        <v>Obec Benešov nad Černou, IČ 00245780</v>
      </c>
      <c r="E235" s="903"/>
      <c r="F235" s="903"/>
      <c r="G235" s="903"/>
      <c r="H235" s="904"/>
      <c r="K235" s="13" t="s">
        <v>85</v>
      </c>
      <c r="L235" s="13" t="s">
        <v>91</v>
      </c>
      <c r="M235" s="1061" t="str">
        <f>D235</f>
        <v>Obec Benešov nad Černou, IČ 00245780</v>
      </c>
      <c r="N235" s="1062"/>
      <c r="O235" s="1062"/>
      <c r="P235" s="1062"/>
      <c r="Q235" s="1063"/>
      <c r="T235" s="13" t="s">
        <v>85</v>
      </c>
      <c r="U235" s="13" t="s">
        <v>91</v>
      </c>
      <c r="V235" s="1061" t="str">
        <f>D235</f>
        <v>Obec Benešov nad Černou, IČ 00245780</v>
      </c>
      <c r="W235" s="1062"/>
      <c r="X235" s="1062"/>
      <c r="Y235" s="1062"/>
      <c r="Z235" s="1062"/>
      <c r="AA235" s="1062"/>
      <c r="AB235" s="1063"/>
      <c r="AC235" s="146"/>
      <c r="AD235" s="146"/>
      <c r="AK235" s="146"/>
      <c r="AL235" s="146"/>
      <c r="AM235" s="146"/>
      <c r="AN235" s="146"/>
    </row>
    <row r="236" spans="1:40" x14ac:dyDescent="0.25">
      <c r="B236" s="13" t="s">
        <v>86</v>
      </c>
      <c r="C236" s="13" t="s">
        <v>93</v>
      </c>
      <c r="D236" s="1055" t="str">
        <f t="shared" si="25"/>
        <v>A</v>
      </c>
      <c r="E236" s="1056"/>
      <c r="F236" s="1056"/>
      <c r="G236" s="1056"/>
      <c r="H236" s="1057"/>
      <c r="K236" s="13" t="s">
        <v>86</v>
      </c>
      <c r="L236" s="13" t="s">
        <v>93</v>
      </c>
      <c r="M236" s="1058" t="str">
        <f>IF($D236="[vyplnit]"," ",$D236)</f>
        <v>A</v>
      </c>
      <c r="N236" s="1059"/>
      <c r="O236" s="1059"/>
      <c r="P236" s="1059"/>
      <c r="Q236" s="1060"/>
      <c r="T236" s="13" t="s">
        <v>86</v>
      </c>
      <c r="U236" s="13" t="s">
        <v>93</v>
      </c>
      <c r="V236" s="1064" t="str">
        <f>IF($D236="[vyplnit]"," ",$D236)</f>
        <v>A</v>
      </c>
      <c r="W236" s="1064"/>
      <c r="X236" s="1064"/>
      <c r="Y236" s="1064"/>
      <c r="Z236" s="1064"/>
      <c r="AA236" s="1064"/>
      <c r="AB236" s="1064"/>
      <c r="AC236" s="146"/>
      <c r="AD236" s="146"/>
      <c r="AK236" s="146"/>
      <c r="AL236" s="146"/>
      <c r="AM236" s="146"/>
      <c r="AN236" s="146"/>
    </row>
    <row r="237" spans="1:40" x14ac:dyDescent="0.25">
      <c r="B237" s="13" t="s">
        <v>87</v>
      </c>
      <c r="C237" s="13" t="s">
        <v>92</v>
      </c>
      <c r="D237" s="1055">
        <f t="shared" si="25"/>
        <v>1</v>
      </c>
      <c r="E237" s="1056"/>
      <c r="F237" s="1056"/>
      <c r="G237" s="1056"/>
      <c r="H237" s="1057"/>
      <c r="K237" s="13" t="s">
        <v>87</v>
      </c>
      <c r="L237" s="13" t="s">
        <v>92</v>
      </c>
      <c r="M237" s="1058">
        <f>IF($D237="[vyplnit]"," ",$D237)</f>
        <v>1</v>
      </c>
      <c r="N237" s="1059"/>
      <c r="O237" s="1059"/>
      <c r="P237" s="1059"/>
      <c r="Q237" s="1060"/>
      <c r="T237" s="13" t="s">
        <v>87</v>
      </c>
      <c r="U237" s="13" t="s">
        <v>92</v>
      </c>
      <c r="V237" s="1064">
        <f>IF($D237="[vyplnit]"," ",$D237)</f>
        <v>1</v>
      </c>
      <c r="W237" s="1064"/>
      <c r="X237" s="1064"/>
      <c r="Y237" s="1064"/>
      <c r="Z237" s="1064"/>
      <c r="AA237" s="1064"/>
      <c r="AB237" s="1064"/>
      <c r="AC237" s="146"/>
      <c r="AD237" s="146"/>
      <c r="AK237" s="146"/>
      <c r="AL237" s="146"/>
      <c r="AM237" s="146"/>
      <c r="AN237" s="146"/>
    </row>
    <row r="238" spans="1:40" x14ac:dyDescent="0.25">
      <c r="B238" s="13" t="s">
        <v>88</v>
      </c>
      <c r="C238" s="13" t="s">
        <v>94</v>
      </c>
      <c r="D238" s="1055" t="str">
        <f t="shared" si="25"/>
        <v>[vyplnit]</v>
      </c>
      <c r="E238" s="1056"/>
      <c r="F238" s="1056"/>
      <c r="G238" s="1056"/>
      <c r="H238" s="1057"/>
      <c r="K238" s="13" t="s">
        <v>88</v>
      </c>
      <c r="L238" s="13" t="s">
        <v>94</v>
      </c>
      <c r="M238" s="1058" t="str">
        <f>IF($D238="[vyplnit]"," ",$D238)</f>
        <v xml:space="preserve"> </v>
      </c>
      <c r="N238" s="1059"/>
      <c r="O238" s="1059"/>
      <c r="P238" s="1059"/>
      <c r="Q238" s="1060"/>
      <c r="T238" s="13" t="s">
        <v>88</v>
      </c>
      <c r="U238" s="13" t="s">
        <v>94</v>
      </c>
      <c r="V238" s="1064" t="str">
        <f>IF($D238="[vyplnit]"," ",$D238)</f>
        <v xml:space="preserve"> </v>
      </c>
      <c r="W238" s="1064"/>
      <c r="X238" s="1064"/>
      <c r="Y238" s="1064"/>
      <c r="Z238" s="1064"/>
      <c r="AA238" s="1064"/>
      <c r="AB238" s="1064"/>
      <c r="AC238" s="146"/>
      <c r="AD238" s="146"/>
      <c r="AK238" s="146"/>
      <c r="AL238" s="146"/>
      <c r="AM238" s="146"/>
      <c r="AN238" s="146"/>
    </row>
    <row r="239" spans="1:40" x14ac:dyDescent="0.25">
      <c r="AC239" s="146"/>
      <c r="AK239" s="146"/>
      <c r="AL239" s="146"/>
      <c r="AM239" s="146"/>
      <c r="AN239" s="146"/>
    </row>
    <row r="240" spans="1:40" x14ac:dyDescent="0.25">
      <c r="B240" s="1052" t="s">
        <v>5</v>
      </c>
      <c r="C240" s="884" t="s">
        <v>0</v>
      </c>
      <c r="D240" s="868"/>
      <c r="E240" s="868"/>
      <c r="F240" s="868"/>
      <c r="G240" s="868"/>
      <c r="H240" s="869"/>
      <c r="K240" s="1052" t="s">
        <v>5</v>
      </c>
      <c r="L240" s="884" t="s">
        <v>0</v>
      </c>
      <c r="M240" s="868"/>
      <c r="N240" s="868"/>
      <c r="O240" s="868"/>
      <c r="P240" s="868"/>
      <c r="Q240" s="869"/>
      <c r="T240" s="1052" t="s">
        <v>5</v>
      </c>
      <c r="U240" s="884" t="s">
        <v>0</v>
      </c>
      <c r="V240" s="868"/>
      <c r="W240" s="868"/>
      <c r="X240" s="868"/>
      <c r="Y240" s="868"/>
      <c r="Z240" s="868"/>
      <c r="AA240" s="868"/>
      <c r="AB240" s="869"/>
      <c r="AC240" s="146"/>
      <c r="AK240" s="146"/>
      <c r="AL240" s="146"/>
      <c r="AM240" s="146"/>
      <c r="AN240" s="146"/>
    </row>
    <row r="241" spans="2:40" x14ac:dyDescent="0.25">
      <c r="B241" s="1053"/>
      <c r="C241" s="1052" t="s">
        <v>1</v>
      </c>
      <c r="D241" s="1065" t="s">
        <v>133</v>
      </c>
      <c r="E241" s="884" t="s">
        <v>3</v>
      </c>
      <c r="F241" s="868"/>
      <c r="G241" s="884" t="s">
        <v>4</v>
      </c>
      <c r="H241" s="869"/>
      <c r="K241" s="1053"/>
      <c r="L241" s="1052" t="s">
        <v>1</v>
      </c>
      <c r="M241" s="1065" t="s">
        <v>133</v>
      </c>
      <c r="N241" s="884" t="s">
        <v>3</v>
      </c>
      <c r="O241" s="868"/>
      <c r="P241" s="884" t="s">
        <v>4</v>
      </c>
      <c r="Q241" s="869"/>
      <c r="T241" s="1053"/>
      <c r="U241" s="1052" t="s">
        <v>1</v>
      </c>
      <c r="V241" s="1065" t="s">
        <v>133</v>
      </c>
      <c r="W241" s="884" t="s">
        <v>3</v>
      </c>
      <c r="X241" s="868"/>
      <c r="Y241" s="868"/>
      <c r="Z241" s="884" t="s">
        <v>4</v>
      </c>
      <c r="AA241" s="868"/>
      <c r="AB241" s="869"/>
      <c r="AC241" s="146"/>
      <c r="AK241" s="146"/>
      <c r="AL241" s="146"/>
      <c r="AM241" s="146"/>
      <c r="AN241" s="146"/>
    </row>
    <row r="242" spans="2:40" x14ac:dyDescent="0.25">
      <c r="B242" s="1053"/>
      <c r="C242" s="1053"/>
      <c r="D242" s="1053"/>
      <c r="E242" s="28">
        <f>D232-1</f>
        <v>2026</v>
      </c>
      <c r="F242" s="28">
        <f>D232</f>
        <v>2027</v>
      </c>
      <c r="G242" s="28">
        <f>D232-1</f>
        <v>2026</v>
      </c>
      <c r="H242" s="28">
        <f>D232</f>
        <v>2027</v>
      </c>
      <c r="K242" s="1053"/>
      <c r="L242" s="1053"/>
      <c r="M242" s="1053"/>
      <c r="N242" s="28">
        <f>M232-1</f>
        <v>2026</v>
      </c>
      <c r="O242" s="28">
        <f>M232</f>
        <v>2027</v>
      </c>
      <c r="P242" s="28">
        <f>M232-1</f>
        <v>2026</v>
      </c>
      <c r="Q242" s="28">
        <f>M232</f>
        <v>2027</v>
      </c>
      <c r="T242" s="1053"/>
      <c r="U242" s="1053"/>
      <c r="V242" s="1053"/>
      <c r="W242" s="28">
        <f>W232</f>
        <v>2027</v>
      </c>
      <c r="X242" s="28">
        <f>W232</f>
        <v>2027</v>
      </c>
      <c r="Y242" s="28">
        <f>W232</f>
        <v>2027</v>
      </c>
      <c r="Z242" s="28">
        <f>W232</f>
        <v>2027</v>
      </c>
      <c r="AA242" s="28">
        <f>W232</f>
        <v>2027</v>
      </c>
      <c r="AB242" s="28">
        <f>W232</f>
        <v>2027</v>
      </c>
      <c r="AC242" s="146"/>
      <c r="AK242" s="146"/>
      <c r="AL242" s="146"/>
      <c r="AM242" s="146"/>
      <c r="AN242" s="146"/>
    </row>
    <row r="243" spans="2:40" x14ac:dyDescent="0.25">
      <c r="B243" s="1054"/>
      <c r="C243" s="1054"/>
      <c r="D243" s="1054"/>
      <c r="E243" s="7" t="s">
        <v>151</v>
      </c>
      <c r="F243" s="7" t="s">
        <v>98</v>
      </c>
      <c r="G243" s="7" t="s">
        <v>151</v>
      </c>
      <c r="H243" s="19" t="s">
        <v>98</v>
      </c>
      <c r="K243" s="1054"/>
      <c r="L243" s="1054"/>
      <c r="M243" s="1054"/>
      <c r="N243" s="7" t="s">
        <v>151</v>
      </c>
      <c r="O243" s="7" t="s">
        <v>98</v>
      </c>
      <c r="P243" s="7" t="s">
        <v>151</v>
      </c>
      <c r="Q243" s="19" t="s">
        <v>98</v>
      </c>
      <c r="T243" s="1054"/>
      <c r="U243" s="1054"/>
      <c r="V243" s="1054"/>
      <c r="W243" s="7" t="s">
        <v>150</v>
      </c>
      <c r="X243" s="7" t="s">
        <v>98</v>
      </c>
      <c r="Y243" s="7" t="s">
        <v>149</v>
      </c>
      <c r="Z243" s="7" t="s">
        <v>150</v>
      </c>
      <c r="AA243" s="7" t="s">
        <v>98</v>
      </c>
      <c r="AB243" s="19" t="s">
        <v>149</v>
      </c>
      <c r="AC243" s="146"/>
      <c r="AK243" s="146"/>
      <c r="AL243" s="146"/>
      <c r="AM243" s="146"/>
      <c r="AN243" s="146"/>
    </row>
    <row r="244" spans="2:40" x14ac:dyDescent="0.25">
      <c r="B244" s="11">
        <v>1</v>
      </c>
      <c r="C244" s="11">
        <v>2</v>
      </c>
      <c r="D244" s="11" t="s">
        <v>95</v>
      </c>
      <c r="E244" s="11">
        <v>3</v>
      </c>
      <c r="F244" s="11">
        <v>4</v>
      </c>
      <c r="G244" s="11">
        <v>6</v>
      </c>
      <c r="H244" s="22">
        <v>7</v>
      </c>
      <c r="K244" s="11">
        <v>1</v>
      </c>
      <c r="L244" s="11">
        <v>2</v>
      </c>
      <c r="M244" s="11" t="s">
        <v>95</v>
      </c>
      <c r="N244" s="11">
        <v>3</v>
      </c>
      <c r="O244" s="11">
        <v>4</v>
      </c>
      <c r="P244" s="11">
        <v>6</v>
      </c>
      <c r="Q244" s="22">
        <v>7</v>
      </c>
      <c r="T244" s="11">
        <v>1</v>
      </c>
      <c r="U244" s="11">
        <v>2</v>
      </c>
      <c r="V244" s="11" t="s">
        <v>95</v>
      </c>
      <c r="W244" s="11">
        <v>3</v>
      </c>
      <c r="X244" s="11">
        <v>4</v>
      </c>
      <c r="Y244" s="11">
        <v>5</v>
      </c>
      <c r="Z244" s="11">
        <v>6</v>
      </c>
      <c r="AA244" s="11">
        <v>7</v>
      </c>
      <c r="AB244" s="22">
        <v>8</v>
      </c>
      <c r="AC244" s="146"/>
      <c r="AK244" s="146"/>
      <c r="AL244" s="146"/>
      <c r="AM244" s="146"/>
      <c r="AN244" s="146"/>
    </row>
    <row r="245" spans="2:40" x14ac:dyDescent="0.25">
      <c r="B245" s="9" t="s">
        <v>8</v>
      </c>
      <c r="C245" s="10" t="s">
        <v>9</v>
      </c>
      <c r="D245" s="11" t="s">
        <v>10</v>
      </c>
      <c r="E245" s="41">
        <f>SUM(E246:E249)</f>
        <v>0</v>
      </c>
      <c r="F245" s="41">
        <f>SUM(F246:F249)</f>
        <v>0</v>
      </c>
      <c r="G245" s="41">
        <f>SUM(G246:G249)</f>
        <v>0</v>
      </c>
      <c r="H245" s="86">
        <f>SUM(H246:H249)</f>
        <v>0</v>
      </c>
      <c r="K245" s="9" t="s">
        <v>8</v>
      </c>
      <c r="L245" s="10" t="s">
        <v>9</v>
      </c>
      <c r="M245" s="11" t="s">
        <v>10</v>
      </c>
      <c r="N245" s="41">
        <f>SUM(N246:N249)</f>
        <v>0</v>
      </c>
      <c r="O245" s="41">
        <f>SUM(O246:O249)</f>
        <v>0</v>
      </c>
      <c r="P245" s="41">
        <f>SUM(P246:P249)</f>
        <v>0</v>
      </c>
      <c r="Q245" s="86">
        <f>SUM(Q246:Q249)</f>
        <v>0</v>
      </c>
      <c r="T245" s="9" t="s">
        <v>8</v>
      </c>
      <c r="U245" s="10" t="s">
        <v>9</v>
      </c>
      <c r="V245" s="11" t="s">
        <v>10</v>
      </c>
      <c r="W245" s="86">
        <f t="shared" ref="W245:AB245" si="26">SUM(W246:W249)</f>
        <v>0</v>
      </c>
      <c r="X245" s="86">
        <f t="shared" si="26"/>
        <v>0</v>
      </c>
      <c r="Y245" s="86">
        <f t="shared" si="26"/>
        <v>0</v>
      </c>
      <c r="Z245" s="86">
        <f t="shared" si="26"/>
        <v>0</v>
      </c>
      <c r="AA245" s="86">
        <f t="shared" si="26"/>
        <v>0</v>
      </c>
      <c r="AB245" s="86">
        <f t="shared" si="26"/>
        <v>0</v>
      </c>
      <c r="AC245" s="146"/>
      <c r="AK245" s="146"/>
      <c r="AL245" s="146"/>
      <c r="AM245" s="146"/>
      <c r="AN245" s="146"/>
    </row>
    <row r="246" spans="2:40" x14ac:dyDescent="0.25">
      <c r="B246" s="12" t="s">
        <v>11</v>
      </c>
      <c r="C246" s="13" t="s">
        <v>12</v>
      </c>
      <c r="D246" s="3" t="s">
        <v>10</v>
      </c>
      <c r="E246" s="44">
        <v>0</v>
      </c>
      <c r="F246" s="44">
        <f>IF(YEAR(Postup!$H$25)&gt;$D$232,Provozování!Y23,IF(AND(DAY(Postup!$H$25)=31,MONTH(Postup!$H$25)=12,YEAR(Postup!$H$25)=$D$232),Provozování!Y23,IF(YEAR(Postup!$H$25)=$D$232,Provozování!$BL23,0)))</f>
        <v>0</v>
      </c>
      <c r="G246" s="44">
        <v>0</v>
      </c>
      <c r="H246" s="334">
        <v>0</v>
      </c>
      <c r="K246" s="12" t="s">
        <v>11</v>
      </c>
      <c r="L246" s="13" t="s">
        <v>12</v>
      </c>
      <c r="M246" s="3" t="s">
        <v>10</v>
      </c>
      <c r="N246" s="44">
        <v>0</v>
      </c>
      <c r="O246" s="44">
        <f>IF(Provozování!$AA$16="Neaktivní",0,Provozování!AA23)</f>
        <v>0</v>
      </c>
      <c r="P246" s="44">
        <v>0</v>
      </c>
      <c r="Q246" s="334">
        <v>0</v>
      </c>
      <c r="T246" s="12" t="s">
        <v>11</v>
      </c>
      <c r="U246" s="13" t="s">
        <v>12</v>
      </c>
      <c r="V246" s="3" t="s">
        <v>10</v>
      </c>
      <c r="W246" s="462">
        <v>0</v>
      </c>
      <c r="X246" s="44">
        <f>IF(Provozování!$AA$16="Neaktivní",F246,O246)</f>
        <v>0</v>
      </c>
      <c r="Y246" s="44">
        <f>W246-X246</f>
        <v>0</v>
      </c>
      <c r="Z246" s="337">
        <v>0</v>
      </c>
      <c r="AA246" s="337">
        <v>0</v>
      </c>
      <c r="AB246" s="334">
        <v>0</v>
      </c>
      <c r="AC246" s="146"/>
      <c r="AK246" s="146"/>
      <c r="AL246" s="146"/>
      <c r="AM246" s="146"/>
      <c r="AN246" s="146"/>
    </row>
    <row r="247" spans="2:40" x14ac:dyDescent="0.25">
      <c r="B247" s="12" t="s">
        <v>13</v>
      </c>
      <c r="C247" s="12" t="s">
        <v>14</v>
      </c>
      <c r="D247" s="3" t="s">
        <v>10</v>
      </c>
      <c r="E247" s="52">
        <v>0</v>
      </c>
      <c r="F247" s="44">
        <f>IF(YEAR(Postup!$H$25)&gt;$D$232,Provozování!Y24,IF(AND(DAY(Postup!$H$25)=31,MONTH(Postup!$H$25)=12,YEAR(Postup!$H$25)=$D$232),Provozování!Y24,IF(YEAR(Postup!$H$25)=$D$232,Provozování!$BL24,0)))</f>
        <v>0</v>
      </c>
      <c r="G247" s="52">
        <v>0</v>
      </c>
      <c r="H247" s="30">
        <f>IF(YEAR(Postup!$H$25)&gt;$D$232,Provozování!Z24,IF(AND(DAY(Postup!$H$25)=31,MONTH(Postup!$H$25)=12,YEAR(Postup!$H$25)=$D$232),Provozování!Z24,IF(YEAR(Postup!$H$25)=$D$232,Provozování!$BM24,0)))</f>
        <v>0</v>
      </c>
      <c r="K247" s="12" t="s">
        <v>13</v>
      </c>
      <c r="L247" s="12" t="s">
        <v>14</v>
      </c>
      <c r="M247" s="3" t="s">
        <v>10</v>
      </c>
      <c r="N247" s="52">
        <v>0</v>
      </c>
      <c r="O247" s="44">
        <f>IF(Provozování!$AA$16="Neaktivní",0,Provozování!AA24)</f>
        <v>0</v>
      </c>
      <c r="P247" s="52">
        <v>0</v>
      </c>
      <c r="Q247" s="53">
        <f>IF(Provozování!$AA$16="Neaktivní",0,Provozování!AB24)</f>
        <v>0</v>
      </c>
      <c r="T247" s="12" t="s">
        <v>13</v>
      </c>
      <c r="U247" s="12" t="s">
        <v>14</v>
      </c>
      <c r="V247" s="3" t="s">
        <v>10</v>
      </c>
      <c r="W247" s="463">
        <v>0</v>
      </c>
      <c r="X247" s="44">
        <f>IF(Provozování!$AA$16="Neaktivní",F247,O247)</f>
        <v>0</v>
      </c>
      <c r="Y247" s="44">
        <f>W247-X247</f>
        <v>0</v>
      </c>
      <c r="Z247" s="463">
        <v>0</v>
      </c>
      <c r="AA247" s="44">
        <f>IF(Provozování!$AA$16="Neaktivní",H247,Q247)</f>
        <v>0</v>
      </c>
      <c r="AB247" s="30">
        <f>Z247-AA247</f>
        <v>0</v>
      </c>
      <c r="AC247" s="146"/>
      <c r="AK247" s="146"/>
      <c r="AL247" s="146"/>
      <c r="AM247" s="146"/>
      <c r="AN247" s="146"/>
    </row>
    <row r="248" spans="2:40" x14ac:dyDescent="0.25">
      <c r="B248" s="12" t="s">
        <v>15</v>
      </c>
      <c r="C248" s="13" t="s">
        <v>16</v>
      </c>
      <c r="D248" s="3" t="s">
        <v>10</v>
      </c>
      <c r="E248" s="30">
        <v>0</v>
      </c>
      <c r="F248" s="456">
        <f>IF(YEAR(Postup!$H$25)&gt;$D$232,Provozování!Y25,IF(AND(DAY(Postup!$H$25)=31,MONTH(Postup!$H$25)=12,YEAR(Postup!$H$25)=$D$232),Provozování!Y25,IF(YEAR(Postup!$H$25)=$D$232,Provozování!$BL25,0)))</f>
        <v>0</v>
      </c>
      <c r="G248" s="30">
        <v>0</v>
      </c>
      <c r="H248" s="457">
        <f>IF(YEAR(Postup!$H$25)&gt;$D$232,Provozování!Z25,IF(AND(DAY(Postup!$H$25)=31,MONTH(Postup!$H$25)=12,YEAR(Postup!$H$25)=$D$232),Provozování!Z25,IF(YEAR(Postup!$H$25)=$D$232,Provozování!$BM25,0)))</f>
        <v>0</v>
      </c>
      <c r="K248" s="12" t="s">
        <v>15</v>
      </c>
      <c r="L248" s="13" t="s">
        <v>16</v>
      </c>
      <c r="M248" s="3" t="s">
        <v>10</v>
      </c>
      <c r="N248" s="30">
        <v>0</v>
      </c>
      <c r="O248" s="456">
        <f>IF(Provozování!$AA$16="Neaktivní",0,Provozování!AA25)</f>
        <v>0</v>
      </c>
      <c r="P248" s="30">
        <v>0</v>
      </c>
      <c r="Q248" s="457">
        <f>IF(Provozování!$AA$16="Neaktivní",0,Provozování!AB25)</f>
        <v>0</v>
      </c>
      <c r="T248" s="12" t="s">
        <v>15</v>
      </c>
      <c r="U248" s="13" t="s">
        <v>16</v>
      </c>
      <c r="V248" s="3" t="s">
        <v>10</v>
      </c>
      <c r="W248" s="464">
        <v>0</v>
      </c>
      <c r="X248" s="44">
        <f>IF(Provozování!$AA$16="Neaktivní",F248,O248)</f>
        <v>0</v>
      </c>
      <c r="Y248" s="44">
        <f>W248-X248</f>
        <v>0</v>
      </c>
      <c r="Z248" s="464">
        <v>0</v>
      </c>
      <c r="AA248" s="44">
        <f>IF(Provozování!$AA$16="Neaktivní",H248,Q248)</f>
        <v>0</v>
      </c>
      <c r="AB248" s="30">
        <f>Z248-AA248</f>
        <v>0</v>
      </c>
      <c r="AC248" s="146"/>
      <c r="AK248" s="146"/>
      <c r="AL248" s="146"/>
      <c r="AM248" s="146"/>
      <c r="AN248" s="146"/>
    </row>
    <row r="249" spans="2:40" x14ac:dyDescent="0.25">
      <c r="B249" s="12" t="s">
        <v>17</v>
      </c>
      <c r="C249" s="13" t="s">
        <v>18</v>
      </c>
      <c r="D249" s="3" t="s">
        <v>10</v>
      </c>
      <c r="E249" s="87">
        <v>0</v>
      </c>
      <c r="F249" s="456">
        <f>IF(YEAR(Postup!$H$25)&gt;$D$232,Provozování!Y26,IF(AND(DAY(Postup!$H$25)=31,MONTH(Postup!$H$25)=12,YEAR(Postup!$H$25)=$D$232),Provozování!Y26,IF(YEAR(Postup!$H$25)=$D$232,Provozování!$BL26,0)))</f>
        <v>0</v>
      </c>
      <c r="G249" s="87">
        <v>0</v>
      </c>
      <c r="H249" s="457">
        <f>IF(YEAR(Postup!$H$25)&gt;$D$232,Provozování!Z26,IF(AND(DAY(Postup!$H$25)=31,MONTH(Postup!$H$25)=12,YEAR(Postup!$H$25)=$D$232),Provozování!Z26,IF(YEAR(Postup!$H$25)=$D$232,Provozování!$BM26,0)))</f>
        <v>0</v>
      </c>
      <c r="K249" s="12" t="s">
        <v>17</v>
      </c>
      <c r="L249" s="13" t="s">
        <v>18</v>
      </c>
      <c r="M249" s="3" t="s">
        <v>10</v>
      </c>
      <c r="N249" s="87">
        <v>0</v>
      </c>
      <c r="O249" s="456">
        <f>IF(Provozování!$AA$16="Neaktivní",0,Provozování!AA26)</f>
        <v>0</v>
      </c>
      <c r="P249" s="87">
        <v>0</v>
      </c>
      <c r="Q249" s="457">
        <f>IF(Provozování!$AA$16="Neaktivní",0,Provozování!AB26)</f>
        <v>0</v>
      </c>
      <c r="T249" s="12" t="s">
        <v>17</v>
      </c>
      <c r="U249" s="13" t="s">
        <v>18</v>
      </c>
      <c r="V249" s="3" t="s">
        <v>10</v>
      </c>
      <c r="W249" s="465">
        <v>0</v>
      </c>
      <c r="X249" s="44">
        <f>IF(Provozování!$AA$16="Neaktivní",F249,O249)</f>
        <v>0</v>
      </c>
      <c r="Y249" s="44">
        <f>W249-X249</f>
        <v>0</v>
      </c>
      <c r="Z249" s="465">
        <v>0</v>
      </c>
      <c r="AA249" s="44">
        <f>IF(Provozování!$AA$16="Neaktivní",H249,Q249)</f>
        <v>0</v>
      </c>
      <c r="AB249" s="30">
        <f>Z249-AA249</f>
        <v>0</v>
      </c>
      <c r="AC249" s="146"/>
      <c r="AK249" s="146"/>
      <c r="AL249" s="146"/>
      <c r="AM249" s="146"/>
      <c r="AN249" s="146"/>
    </row>
    <row r="250" spans="2:40" x14ac:dyDescent="0.25">
      <c r="B250" s="9" t="s">
        <v>19</v>
      </c>
      <c r="C250" s="10" t="s">
        <v>20</v>
      </c>
      <c r="D250" s="11" t="s">
        <v>10</v>
      </c>
      <c r="E250" s="88">
        <f>SUM(E251:E252)</f>
        <v>0</v>
      </c>
      <c r="F250" s="88">
        <f>SUM(F251:F252)</f>
        <v>0</v>
      </c>
      <c r="G250" s="88">
        <f>SUM(G251:G252)</f>
        <v>0</v>
      </c>
      <c r="H250" s="86">
        <f>SUM(H251:H252)</f>
        <v>0</v>
      </c>
      <c r="K250" s="9" t="s">
        <v>19</v>
      </c>
      <c r="L250" s="10" t="s">
        <v>20</v>
      </c>
      <c r="M250" s="11" t="s">
        <v>10</v>
      </c>
      <c r="N250" s="88">
        <f>SUM(N251:N252)</f>
        <v>0</v>
      </c>
      <c r="O250" s="88">
        <f>SUM(O251:O252)</f>
        <v>0</v>
      </c>
      <c r="P250" s="88">
        <f>SUM(P251:P252)</f>
        <v>0</v>
      </c>
      <c r="Q250" s="86">
        <f>SUM(Q251:Q252)</f>
        <v>0</v>
      </c>
      <c r="T250" s="9" t="s">
        <v>19</v>
      </c>
      <c r="U250" s="10" t="s">
        <v>20</v>
      </c>
      <c r="V250" s="11" t="s">
        <v>10</v>
      </c>
      <c r="W250" s="86">
        <f t="shared" ref="W250:AB250" si="27">SUM(W251:W252)</f>
        <v>0</v>
      </c>
      <c r="X250" s="86">
        <f t="shared" si="27"/>
        <v>0</v>
      </c>
      <c r="Y250" s="86">
        <f t="shared" si="27"/>
        <v>0</v>
      </c>
      <c r="Z250" s="86">
        <f t="shared" si="27"/>
        <v>0</v>
      </c>
      <c r="AA250" s="86">
        <f t="shared" si="27"/>
        <v>0</v>
      </c>
      <c r="AB250" s="86">
        <f t="shared" si="27"/>
        <v>0</v>
      </c>
      <c r="AC250" s="146"/>
      <c r="AK250" s="146"/>
      <c r="AL250" s="146"/>
      <c r="AM250" s="146"/>
      <c r="AN250" s="146"/>
    </row>
    <row r="251" spans="2:40" x14ac:dyDescent="0.25">
      <c r="B251" s="12" t="s">
        <v>21</v>
      </c>
      <c r="C251" s="12" t="s">
        <v>22</v>
      </c>
      <c r="D251" s="3" t="s">
        <v>10</v>
      </c>
      <c r="E251" s="30">
        <v>0</v>
      </c>
      <c r="F251" s="456">
        <f>IF(YEAR(Postup!$H$25)&gt;$D$232,Provozování!Y28,IF(AND(DAY(Postup!$H$25)=31,MONTH(Postup!$H$25)=12,YEAR(Postup!$H$25)=$D$232),Provozování!Y28,IF(YEAR(Postup!$H$25)=$D$232,Provozování!$BL28,0)))</f>
        <v>0</v>
      </c>
      <c r="G251" s="30">
        <v>0</v>
      </c>
      <c r="H251" s="457">
        <f>IF(YEAR(Postup!$H$25)&gt;$D$232,Provozování!Z28,IF(AND(DAY(Postup!$H$25)=31,MONTH(Postup!$H$25)=12,YEAR(Postup!$H$25)=$D$232),Provozování!Z28,IF(YEAR(Postup!$H$25)=$D$232,Provozování!$BM28,0)))</f>
        <v>0</v>
      </c>
      <c r="K251" s="12" t="s">
        <v>21</v>
      </c>
      <c r="L251" s="12" t="s">
        <v>22</v>
      </c>
      <c r="M251" s="3" t="s">
        <v>10</v>
      </c>
      <c r="N251" s="30">
        <v>0</v>
      </c>
      <c r="O251" s="456">
        <f>IF(Provozování!$AA$16="Neaktivní",0,Provozování!AA28)</f>
        <v>0</v>
      </c>
      <c r="P251" s="30">
        <v>0</v>
      </c>
      <c r="Q251" s="457">
        <f>IF(Provozování!$AA$16="Neaktivní",0,Provozování!AB28)</f>
        <v>0</v>
      </c>
      <c r="T251" s="12" t="s">
        <v>21</v>
      </c>
      <c r="U251" s="12" t="s">
        <v>22</v>
      </c>
      <c r="V251" s="3" t="s">
        <v>10</v>
      </c>
      <c r="W251" s="462">
        <v>0</v>
      </c>
      <c r="X251" s="44">
        <f>IF(Provozování!$AA$16="Neaktivní",F251,O251)</f>
        <v>0</v>
      </c>
      <c r="Y251" s="44">
        <f>W251-X251</f>
        <v>0</v>
      </c>
      <c r="Z251" s="464">
        <v>0</v>
      </c>
      <c r="AA251" s="44">
        <f>IF(Provozování!$AA$16="Neaktivní",H251,Q251)</f>
        <v>0</v>
      </c>
      <c r="AB251" s="30">
        <f>Z251-AA251</f>
        <v>0</v>
      </c>
      <c r="AC251" s="146"/>
      <c r="AK251" s="146"/>
      <c r="AL251" s="146"/>
      <c r="AM251" s="146"/>
      <c r="AN251" s="146"/>
    </row>
    <row r="252" spans="2:40" x14ac:dyDescent="0.25">
      <c r="B252" s="12" t="s">
        <v>23</v>
      </c>
      <c r="C252" s="12" t="s">
        <v>24</v>
      </c>
      <c r="D252" s="3" t="s">
        <v>10</v>
      </c>
      <c r="E252" s="87">
        <v>0</v>
      </c>
      <c r="F252" s="456">
        <f>IF(YEAR(Postup!$H$25)&gt;$D$232,Provozování!Y29,IF(AND(DAY(Postup!$H$25)=31,MONTH(Postup!$H$25)=12,YEAR(Postup!$H$25)=$D$232),Provozování!Y29,IF(YEAR(Postup!$H$25)=$D$232,Provozování!$BL29,0)))</f>
        <v>0</v>
      </c>
      <c r="G252" s="87">
        <v>0</v>
      </c>
      <c r="H252" s="457">
        <f>IF(YEAR(Postup!$H$25)&gt;$D$232,Provozování!Z29,IF(AND(DAY(Postup!$H$25)=31,MONTH(Postup!$H$25)=12,YEAR(Postup!$H$25)=$D$232),Provozování!Z29,IF(YEAR(Postup!$H$25)=$D$232,Provozování!$BM29,0)))</f>
        <v>0</v>
      </c>
      <c r="K252" s="12" t="s">
        <v>23</v>
      </c>
      <c r="L252" s="12" t="s">
        <v>24</v>
      </c>
      <c r="M252" s="3" t="s">
        <v>10</v>
      </c>
      <c r="N252" s="87">
        <v>0</v>
      </c>
      <c r="O252" s="456">
        <f>IF(Provozování!$AA$16="Neaktivní",0,Provozování!AA29)</f>
        <v>0</v>
      </c>
      <c r="P252" s="87">
        <v>0</v>
      </c>
      <c r="Q252" s="457">
        <f>IF(Provozování!$AA$16="Neaktivní",0,Provozování!AB29)</f>
        <v>0</v>
      </c>
      <c r="T252" s="12" t="s">
        <v>23</v>
      </c>
      <c r="U252" s="12" t="s">
        <v>24</v>
      </c>
      <c r="V252" s="3" t="s">
        <v>10</v>
      </c>
      <c r="W252" s="463">
        <v>0</v>
      </c>
      <c r="X252" s="44">
        <f>IF(Provozování!$AA$16="Neaktivní",F252,O252)</f>
        <v>0</v>
      </c>
      <c r="Y252" s="44">
        <f>W252-X252</f>
        <v>0</v>
      </c>
      <c r="Z252" s="465">
        <v>0</v>
      </c>
      <c r="AA252" s="44">
        <f>IF(Provozování!$AA$16="Neaktivní",H252,Q252)</f>
        <v>0</v>
      </c>
      <c r="AB252" s="30">
        <f>Z252-AA252</f>
        <v>0</v>
      </c>
      <c r="AC252" s="146"/>
      <c r="AK252" s="146"/>
      <c r="AL252" s="146"/>
      <c r="AM252" s="146"/>
      <c r="AN252" s="146"/>
    </row>
    <row r="253" spans="2:40" x14ac:dyDescent="0.25">
      <c r="B253" s="9" t="s">
        <v>25</v>
      </c>
      <c r="C253" s="10" t="s">
        <v>400</v>
      </c>
      <c r="D253" s="11" t="s">
        <v>10</v>
      </c>
      <c r="E253" s="41">
        <f>SUM(E254:E255)</f>
        <v>0</v>
      </c>
      <c r="F253" s="41">
        <f>SUM(F254:F255)</f>
        <v>0</v>
      </c>
      <c r="G253" s="41">
        <f>SUM(G254:G255)</f>
        <v>0</v>
      </c>
      <c r="H253" s="86">
        <f>SUM(H254:H255)</f>
        <v>0</v>
      </c>
      <c r="K253" s="9" t="s">
        <v>25</v>
      </c>
      <c r="L253" s="10" t="s">
        <v>400</v>
      </c>
      <c r="M253" s="11" t="s">
        <v>10</v>
      </c>
      <c r="N253" s="41">
        <f>SUM(N254:N255)</f>
        <v>0</v>
      </c>
      <c r="O253" s="41">
        <f>SUM(O254:O255)</f>
        <v>0</v>
      </c>
      <c r="P253" s="41">
        <f>SUM(P254:P255)</f>
        <v>0</v>
      </c>
      <c r="Q253" s="86">
        <f>SUM(Q254:Q255)</f>
        <v>0</v>
      </c>
      <c r="T253" s="9" t="s">
        <v>25</v>
      </c>
      <c r="U253" s="10" t="s">
        <v>400</v>
      </c>
      <c r="V253" s="11" t="s">
        <v>10</v>
      </c>
      <c r="W253" s="86">
        <f t="shared" ref="W253:AB253" si="28">SUM(W254:W255)</f>
        <v>0</v>
      </c>
      <c r="X253" s="86">
        <f t="shared" si="28"/>
        <v>0</v>
      </c>
      <c r="Y253" s="86">
        <f t="shared" si="28"/>
        <v>0</v>
      </c>
      <c r="Z253" s="86">
        <f t="shared" si="28"/>
        <v>0</v>
      </c>
      <c r="AA253" s="86">
        <f t="shared" si="28"/>
        <v>0</v>
      </c>
      <c r="AB253" s="86">
        <f t="shared" si="28"/>
        <v>0</v>
      </c>
      <c r="AC253" s="146"/>
      <c r="AD253" s="146"/>
      <c r="AK253" s="146"/>
      <c r="AL253" s="146"/>
      <c r="AM253" s="146"/>
      <c r="AN253" s="146"/>
    </row>
    <row r="254" spans="2:40" x14ac:dyDescent="0.25">
      <c r="B254" s="12" t="s">
        <v>26</v>
      </c>
      <c r="C254" s="13" t="s">
        <v>390</v>
      </c>
      <c r="D254" s="3" t="s">
        <v>10</v>
      </c>
      <c r="E254" s="44">
        <v>0</v>
      </c>
      <c r="F254" s="456">
        <f>IF(YEAR(Postup!$H$25)&gt;$D$232,Provozování!Y31,IF(AND(DAY(Postup!$H$25)=31,MONTH(Postup!$H$25)=12,YEAR(Postup!$H$25)=$D$232),Provozování!Y31,IF(YEAR(Postup!$H$25)=$D$232,Provozování!$BL31,0)))</f>
        <v>0</v>
      </c>
      <c r="G254" s="44">
        <v>0</v>
      </c>
      <c r="H254" s="457">
        <f>IF(YEAR(Postup!$H$25)&gt;$D$232,Provozování!Z31,IF(AND(DAY(Postup!$H$25)=31,MONTH(Postup!$H$25)=12,YEAR(Postup!$H$25)=$D$232),Provozování!Z31,IF(YEAR(Postup!$H$25)=$D$232,Provozování!$BM31,0)))</f>
        <v>0</v>
      </c>
      <c r="K254" s="12" t="s">
        <v>26</v>
      </c>
      <c r="L254" s="13" t="s">
        <v>390</v>
      </c>
      <c r="M254" s="3" t="s">
        <v>10</v>
      </c>
      <c r="N254" s="44">
        <v>0</v>
      </c>
      <c r="O254" s="456">
        <f>IF(Provozování!$AA$16="Neaktivní",0,Provozování!AA31)</f>
        <v>0</v>
      </c>
      <c r="P254" s="44">
        <v>0</v>
      </c>
      <c r="Q254" s="457">
        <f>IF(Provozování!$AA$16="Neaktivní",0,Provozování!AB31)</f>
        <v>0</v>
      </c>
      <c r="T254" s="12" t="s">
        <v>26</v>
      </c>
      <c r="U254" s="13" t="s">
        <v>390</v>
      </c>
      <c r="V254" s="3" t="s">
        <v>10</v>
      </c>
      <c r="W254" s="462">
        <v>0</v>
      </c>
      <c r="X254" s="44">
        <f>IF(Provozování!$AA$16="Neaktivní",F254,O254)</f>
        <v>0</v>
      </c>
      <c r="Y254" s="44">
        <f>W254-X254</f>
        <v>0</v>
      </c>
      <c r="Z254" s="462">
        <v>0</v>
      </c>
      <c r="AA254" s="44">
        <f>IF(Provozování!$AA$16="Neaktivní",H254,Q254)</f>
        <v>0</v>
      </c>
      <c r="AB254" s="30">
        <f>Z254-AA254</f>
        <v>0</v>
      </c>
      <c r="AC254" s="146"/>
      <c r="AD254" s="146"/>
      <c r="AK254" s="146"/>
      <c r="AL254" s="146"/>
      <c r="AM254" s="146"/>
      <c r="AN254" s="146"/>
    </row>
    <row r="255" spans="2:40" x14ac:dyDescent="0.25">
      <c r="B255" s="12" t="s">
        <v>27</v>
      </c>
      <c r="C255" s="13" t="s">
        <v>401</v>
      </c>
      <c r="D255" s="3" t="s">
        <v>10</v>
      </c>
      <c r="E255" s="44">
        <v>0</v>
      </c>
      <c r="F255" s="456">
        <f>IF(YEAR(Postup!$H$25)&gt;$D$232,Provozování!Y32,IF(AND(DAY(Postup!$H$25)=31,MONTH(Postup!$H$25)=12,YEAR(Postup!$H$25)=$D$232),Provozování!Y32,IF(YEAR(Postup!$H$25)=$D$232,Provozování!$BL32,0)))</f>
        <v>0</v>
      </c>
      <c r="G255" s="44">
        <v>0</v>
      </c>
      <c r="H255" s="457">
        <f>IF(YEAR(Postup!$H$25)&gt;$D$232,Provozování!Z32,IF(AND(DAY(Postup!$H$25)=31,MONTH(Postup!$H$25)=12,YEAR(Postup!$H$25)=$D$232),Provozování!Z32,IF(YEAR(Postup!$H$25)=$D$232,Provozování!$BM32,0)))</f>
        <v>0</v>
      </c>
      <c r="K255" s="12" t="s">
        <v>27</v>
      </c>
      <c r="L255" s="13" t="s">
        <v>401</v>
      </c>
      <c r="M255" s="3" t="s">
        <v>10</v>
      </c>
      <c r="N255" s="44">
        <v>0</v>
      </c>
      <c r="O255" s="456">
        <f>IF(Provozování!$AA$16="Neaktivní",0,Provozování!AA32)</f>
        <v>0</v>
      </c>
      <c r="P255" s="44">
        <v>0</v>
      </c>
      <c r="Q255" s="457">
        <f>IF(Provozování!$AA$16="Neaktivní",0,Provozování!AB32)</f>
        <v>0</v>
      </c>
      <c r="T255" s="12" t="s">
        <v>27</v>
      </c>
      <c r="U255" s="13" t="s">
        <v>401</v>
      </c>
      <c r="V255" s="3" t="s">
        <v>10</v>
      </c>
      <c r="W255" s="462">
        <v>0</v>
      </c>
      <c r="X255" s="44">
        <f>IF(Provozování!$AA$16="Neaktivní",F255,O255)</f>
        <v>0</v>
      </c>
      <c r="Y255" s="44">
        <f>W255-X255</f>
        <v>0</v>
      </c>
      <c r="Z255" s="462">
        <v>0</v>
      </c>
      <c r="AA255" s="44">
        <f>IF(Provozování!$AA$16="Neaktivní",H255,Q255)</f>
        <v>0</v>
      </c>
      <c r="AB255" s="30">
        <f>Z255-AA255</f>
        <v>0</v>
      </c>
      <c r="AC255" s="146"/>
      <c r="AD255" s="146"/>
      <c r="AK255" s="146"/>
      <c r="AL255" s="146"/>
      <c r="AM255" s="146"/>
      <c r="AN255" s="146"/>
    </row>
    <row r="256" spans="2:40" x14ac:dyDescent="0.25">
      <c r="B256" s="9" t="s">
        <v>28</v>
      </c>
      <c r="C256" s="10" t="s">
        <v>29</v>
      </c>
      <c r="D256" s="11" t="s">
        <v>10</v>
      </c>
      <c r="E256" s="41">
        <f>SUM(E257:E260)</f>
        <v>0</v>
      </c>
      <c r="F256" s="41">
        <f>SUM(F257:F260)</f>
        <v>0</v>
      </c>
      <c r="G256" s="41">
        <f>SUM(G257:G260)</f>
        <v>0</v>
      </c>
      <c r="H256" s="86">
        <f>SUM(H257:H260)</f>
        <v>0</v>
      </c>
      <c r="K256" s="9" t="s">
        <v>28</v>
      </c>
      <c r="L256" s="10" t="s">
        <v>29</v>
      </c>
      <c r="M256" s="11" t="s">
        <v>10</v>
      </c>
      <c r="N256" s="41">
        <f>SUM(N257:N260)</f>
        <v>0</v>
      </c>
      <c r="O256" s="41">
        <f>SUM(O257:O260)</f>
        <v>0</v>
      </c>
      <c r="P256" s="41">
        <f>SUM(P257:P260)</f>
        <v>0</v>
      </c>
      <c r="Q256" s="86">
        <f>SUM(Q257:Q260)</f>
        <v>0</v>
      </c>
      <c r="T256" s="9" t="s">
        <v>28</v>
      </c>
      <c r="U256" s="10" t="s">
        <v>29</v>
      </c>
      <c r="V256" s="11" t="s">
        <v>10</v>
      </c>
      <c r="W256" s="86">
        <f t="shared" ref="W256:AB256" si="29">SUM(W257:W260)</f>
        <v>0</v>
      </c>
      <c r="X256" s="86">
        <f t="shared" si="29"/>
        <v>0</v>
      </c>
      <c r="Y256" s="86">
        <f t="shared" si="29"/>
        <v>0</v>
      </c>
      <c r="Z256" s="86">
        <f t="shared" si="29"/>
        <v>0</v>
      </c>
      <c r="AA256" s="86">
        <f t="shared" si="29"/>
        <v>0</v>
      </c>
      <c r="AB256" s="86">
        <f t="shared" si="29"/>
        <v>0</v>
      </c>
      <c r="AC256" s="146"/>
      <c r="AD256" s="146"/>
      <c r="AK256" s="146"/>
      <c r="AL256" s="146"/>
      <c r="AM256" s="146"/>
      <c r="AN256" s="146"/>
    </row>
    <row r="257" spans="2:40" x14ac:dyDescent="0.25">
      <c r="B257" s="12" t="s">
        <v>30</v>
      </c>
      <c r="C257" s="12" t="s">
        <v>381</v>
      </c>
      <c r="D257" s="3" t="s">
        <v>10</v>
      </c>
      <c r="E257" s="44">
        <v>0</v>
      </c>
      <c r="F257" s="336">
        <f>IF(YEAR(Postup!$H$25)&gt;$D$232,Provozování!Y34,IF(AND(DAY(Postup!$H$25)=31,MONTH(Postup!$H$25)=12,YEAR(Postup!$H$25)=$D$232),Provozování!Y34,IF(YEAR(Postup!$H$25)=$D$232,Provozování!$BL34,0)))</f>
        <v>0</v>
      </c>
      <c r="G257" s="44">
        <v>0</v>
      </c>
      <c r="H257" s="335">
        <f>IF(YEAR(Postup!$H$25)&gt;$D$232,Provozování!Z34,IF(AND(DAY(Postup!$H$25)=31,MONTH(Postup!$H$25)=12,YEAR(Postup!$H$25)=$D$232),Provozování!Z34,IF(YEAR(Postup!$H$25)=$D$232,Provozování!$BM34,0)))</f>
        <v>0</v>
      </c>
      <c r="K257" s="12" t="s">
        <v>30</v>
      </c>
      <c r="L257" s="12" t="s">
        <v>381</v>
      </c>
      <c r="M257" s="3" t="s">
        <v>10</v>
      </c>
      <c r="N257" s="44">
        <v>0</v>
      </c>
      <c r="O257" s="640">
        <f>IF(Provozování!$AA$16="Neaktivní",0,Provozování!AA34)</f>
        <v>0</v>
      </c>
      <c r="P257" s="44">
        <v>0</v>
      </c>
      <c r="Q257" s="772">
        <f>IF(Provozování!$AA$16="Neaktivní",0,Provozování!AB34)</f>
        <v>0</v>
      </c>
      <c r="T257" s="12" t="s">
        <v>30</v>
      </c>
      <c r="U257" s="12" t="s">
        <v>381</v>
      </c>
      <c r="V257" s="3" t="s">
        <v>10</v>
      </c>
      <c r="W257" s="462">
        <v>0</v>
      </c>
      <c r="X257" s="44">
        <f>IF(Provozování!$AA$16="Neaktivní",F257,O257)</f>
        <v>0</v>
      </c>
      <c r="Y257" s="44">
        <f>W257-X257</f>
        <v>0</v>
      </c>
      <c r="Z257" s="462">
        <v>0</v>
      </c>
      <c r="AA257" s="44">
        <f>IF(Provozování!$AA$16="Neaktivní",H257,Q257)</f>
        <v>0</v>
      </c>
      <c r="AB257" s="30">
        <f>Z257-AA257</f>
        <v>0</v>
      </c>
      <c r="AC257" s="146"/>
      <c r="AD257" s="146"/>
      <c r="AK257" s="146"/>
      <c r="AL257" s="146"/>
      <c r="AM257" s="146"/>
      <c r="AN257" s="146"/>
    </row>
    <row r="258" spans="2:40" x14ac:dyDescent="0.25">
      <c r="B258" s="12" t="s">
        <v>32</v>
      </c>
      <c r="C258" s="12" t="s">
        <v>383</v>
      </c>
      <c r="D258" s="3" t="s">
        <v>10</v>
      </c>
      <c r="E258" s="44">
        <v>0</v>
      </c>
      <c r="F258" s="662">
        <f>IF(YEAR(Postup!$H$25)&gt;$D$232,Provozování!Y35,IF(AND(DAY(Postup!$H$25)=31,MONTH(Postup!$H$25)=12,YEAR(Postup!$H$25)=$D$232),Provozování!Y35,IF(YEAR(Postup!$H$25)=$D$232,Provozování!$BL35,0)))</f>
        <v>0</v>
      </c>
      <c r="G258" s="44">
        <v>0</v>
      </c>
      <c r="H258" s="663">
        <f>IF(YEAR(Postup!$H$25)&gt;$D$232,Provozování!Z35,IF(AND(DAY(Postup!$H$25)=31,MONTH(Postup!$H$25)=12,YEAR(Postup!$H$25)=$D$232),Provozování!Z35,IF(YEAR(Postup!$H$25)=$D$232,Provozování!$BM35,0)))</f>
        <v>0</v>
      </c>
      <c r="K258" s="12" t="s">
        <v>32</v>
      </c>
      <c r="L258" s="12" t="s">
        <v>383</v>
      </c>
      <c r="M258" s="3" t="s">
        <v>10</v>
      </c>
      <c r="N258" s="44">
        <v>0</v>
      </c>
      <c r="O258" s="666">
        <f>IF(Provozování!$AA$16="Neaktivní",0,Provozování!AA35)</f>
        <v>0</v>
      </c>
      <c r="P258" s="44">
        <v>0</v>
      </c>
      <c r="Q258" s="669">
        <f>IF(Provozování!$AA$16="Neaktivní",0,Provozování!AB35)</f>
        <v>0</v>
      </c>
      <c r="T258" s="12" t="s">
        <v>32</v>
      </c>
      <c r="U258" s="12" t="s">
        <v>383</v>
      </c>
      <c r="V258" s="3" t="s">
        <v>10</v>
      </c>
      <c r="W258" s="640">
        <f>IF(Provozování!$AA$16="Aktivní",O258,F258)</f>
        <v>0</v>
      </c>
      <c r="X258" s="44">
        <f>IF(Provozování!$AA$16="Neaktivní",F258,O258)</f>
        <v>0</v>
      </c>
      <c r="Y258" s="44">
        <f>W258-X258</f>
        <v>0</v>
      </c>
      <c r="Z258" s="640">
        <f>IF(Provozování!$AA$16="Aktivní",Q258,H258)</f>
        <v>0</v>
      </c>
      <c r="AA258" s="44">
        <f>IF(Provozování!$AA$16="Neaktivní",H258,Q258)</f>
        <v>0</v>
      </c>
      <c r="AB258" s="30">
        <f>Z258-AA258</f>
        <v>0</v>
      </c>
      <c r="AC258" s="146"/>
      <c r="AD258" s="146"/>
      <c r="AK258" s="146"/>
      <c r="AL258" s="146"/>
      <c r="AM258" s="146"/>
      <c r="AN258" s="146"/>
    </row>
    <row r="259" spans="2:40" x14ac:dyDescent="0.25">
      <c r="B259" s="12" t="s">
        <v>33</v>
      </c>
      <c r="C259" s="12" t="s">
        <v>382</v>
      </c>
      <c r="D259" s="3" t="s">
        <v>10</v>
      </c>
      <c r="E259" s="44">
        <v>0</v>
      </c>
      <c r="F259" s="336">
        <f>IF(YEAR(Postup!$H$25)&gt;$D$232,Provozování!Y36,IF(AND(DAY(Postup!$H$25)=31,MONTH(Postup!$H$25)=12,YEAR(Postup!$H$25)=$D$232),Provozování!Y36,IF(YEAR(Postup!$H$25)=$D$232,Provozování!$BL36,0)))</f>
        <v>0</v>
      </c>
      <c r="G259" s="44">
        <v>0</v>
      </c>
      <c r="H259" s="335">
        <f>IF(YEAR(Postup!$H$25)&gt;$D$232,Provozování!Z36,IF(AND(DAY(Postup!$H$25)=31,MONTH(Postup!$H$25)=12,YEAR(Postup!$H$25)=$D$232),Provozování!Z36,IF(YEAR(Postup!$H$25)=$D$232,Provozování!$BM36,0)))</f>
        <v>0</v>
      </c>
      <c r="K259" s="12" t="s">
        <v>33</v>
      </c>
      <c r="L259" s="12" t="s">
        <v>382</v>
      </c>
      <c r="M259" s="3" t="s">
        <v>10</v>
      </c>
      <c r="N259" s="44">
        <v>0</v>
      </c>
      <c r="O259" s="640">
        <f>IF(Provozování!$AA$16="Neaktivní",0,Provozování!AA36)</f>
        <v>0</v>
      </c>
      <c r="P259" s="44">
        <v>0</v>
      </c>
      <c r="Q259" s="772">
        <f>IF(Provozování!$AA$16="Neaktivní",0,Provozování!AB36)</f>
        <v>0</v>
      </c>
      <c r="T259" s="12" t="s">
        <v>33</v>
      </c>
      <c r="U259" s="12" t="s">
        <v>382</v>
      </c>
      <c r="V259" s="3" t="s">
        <v>10</v>
      </c>
      <c r="W259" s="462">
        <v>0</v>
      </c>
      <c r="X259" s="44">
        <f>IF(Provozování!$AA$16="Neaktivní",F259,O259)</f>
        <v>0</v>
      </c>
      <c r="Y259" s="44">
        <f>W259-X259</f>
        <v>0</v>
      </c>
      <c r="Z259" s="462">
        <v>0</v>
      </c>
      <c r="AA259" s="44">
        <f>IF(Provozování!$AA$16="Neaktivní",H259,Q259)</f>
        <v>0</v>
      </c>
      <c r="AB259" s="30">
        <f>Z259-AA259</f>
        <v>0</v>
      </c>
      <c r="AC259" s="146"/>
      <c r="AD259" s="146"/>
      <c r="AK259" s="146"/>
      <c r="AL259" s="146"/>
      <c r="AM259" s="146"/>
      <c r="AN259" s="146"/>
    </row>
    <row r="260" spans="2:40" x14ac:dyDescent="0.25">
      <c r="B260" s="12" t="s">
        <v>34</v>
      </c>
      <c r="C260" s="497" t="s">
        <v>384</v>
      </c>
      <c r="D260" s="3" t="s">
        <v>10</v>
      </c>
      <c r="E260" s="44">
        <v>0</v>
      </c>
      <c r="F260" s="666">
        <f>IF(YEAR(Postup!$H$25)&gt;$D$232,Provozování!Y37,IF(AND(DAY(Postup!$H$25)=31,MONTH(Postup!$H$25)=12,YEAR(Postup!$H$25)=$D$232),Provozování!Y37,IF(YEAR(Postup!$H$25)=$D$232,Provozování!$BL37,0)))</f>
        <v>0</v>
      </c>
      <c r="G260" s="44">
        <v>0</v>
      </c>
      <c r="H260" s="667">
        <f>IF(YEAR(Postup!$H$25)&gt;$D$232,Provozování!Z37,IF(AND(DAY(Postup!$H$25)=31,MONTH(Postup!$H$25)=12,YEAR(Postup!$H$25)=$D$232),Provozování!Z37,IF(YEAR(Postup!$H$25)=$D$232,Provozování!$BM37,0)))</f>
        <v>0</v>
      </c>
      <c r="K260" s="12" t="s">
        <v>34</v>
      </c>
      <c r="L260" s="497" t="s">
        <v>384</v>
      </c>
      <c r="M260" s="3" t="s">
        <v>10</v>
      </c>
      <c r="N260" s="44">
        <v>0</v>
      </c>
      <c r="O260" s="666">
        <f>IF(Provozování!$AA$16="Neaktivní",0,Provozování!AA37)</f>
        <v>0</v>
      </c>
      <c r="P260" s="44">
        <v>0</v>
      </c>
      <c r="Q260" s="667">
        <f>IF(Provozování!$AA$16="Neaktivní",0,Provozování!AB37)</f>
        <v>0</v>
      </c>
      <c r="T260" s="12" t="s">
        <v>34</v>
      </c>
      <c r="U260" s="497" t="s">
        <v>384</v>
      </c>
      <c r="V260" s="3" t="s">
        <v>10</v>
      </c>
      <c r="W260" s="640">
        <f>IF(Provozování!$AA$16="Aktivní",O260,F260)</f>
        <v>0</v>
      </c>
      <c r="X260" s="337">
        <f>IF(Provozování!$AA$16="Neaktivní",F260,O260)</f>
        <v>0</v>
      </c>
      <c r="Y260" s="337">
        <f>W260-X260</f>
        <v>0</v>
      </c>
      <c r="Z260" s="637">
        <f>IF(Provozování!$AA$16="Aktivní",Q260,H260)</f>
        <v>0</v>
      </c>
      <c r="AA260" s="337">
        <f>IF(Provozování!$AA$16="Neaktivní",H260,Q260)</f>
        <v>0</v>
      </c>
      <c r="AB260" s="334">
        <f>Z260-AA260</f>
        <v>0</v>
      </c>
      <c r="AC260" s="146"/>
      <c r="AD260" s="146"/>
      <c r="AE260" s="1073" t="s">
        <v>291</v>
      </c>
      <c r="AF260" s="1074"/>
      <c r="AG260" s="339">
        <f>Y242</f>
        <v>2027</v>
      </c>
      <c r="AH260" s="339">
        <f>AG260</f>
        <v>2027</v>
      </c>
      <c r="AK260" s="146"/>
      <c r="AL260" s="146"/>
      <c r="AM260" s="146"/>
      <c r="AN260" s="146"/>
    </row>
    <row r="261" spans="2:40" x14ac:dyDescent="0.25">
      <c r="B261" s="9" t="s">
        <v>35</v>
      </c>
      <c r="C261" s="10" t="s">
        <v>36</v>
      </c>
      <c r="D261" s="11" t="s">
        <v>10</v>
      </c>
      <c r="E261" s="41">
        <f>SUM(E262:E264)</f>
        <v>0</v>
      </c>
      <c r="F261" s="41">
        <f>SUM(F262:F264)</f>
        <v>0</v>
      </c>
      <c r="G261" s="41">
        <f>SUM(G262:G264)</f>
        <v>0</v>
      </c>
      <c r="H261" s="86">
        <f>SUM(H262:H264)</f>
        <v>0</v>
      </c>
      <c r="K261" s="9" t="s">
        <v>35</v>
      </c>
      <c r="L261" s="10" t="s">
        <v>36</v>
      </c>
      <c r="M261" s="11" t="s">
        <v>10</v>
      </c>
      <c r="N261" s="41">
        <f>SUM(N262:N264)</f>
        <v>0</v>
      </c>
      <c r="O261" s="41">
        <f>SUM(O262:O264)</f>
        <v>0</v>
      </c>
      <c r="P261" s="41">
        <f>SUM(P262:P264)</f>
        <v>0</v>
      </c>
      <c r="Q261" s="86">
        <f>SUM(Q262:Q264)</f>
        <v>0</v>
      </c>
      <c r="T261" s="9" t="s">
        <v>35</v>
      </c>
      <c r="U261" s="10" t="s">
        <v>36</v>
      </c>
      <c r="V261" s="11" t="s">
        <v>10</v>
      </c>
      <c r="W261" s="86">
        <f t="shared" ref="W261:AB261" si="30">SUM(W262:W264)</f>
        <v>0</v>
      </c>
      <c r="X261" s="86">
        <f t="shared" si="30"/>
        <v>0</v>
      </c>
      <c r="Y261" s="86">
        <f t="shared" si="30"/>
        <v>0</v>
      </c>
      <c r="Z261" s="86">
        <f t="shared" si="30"/>
        <v>0</v>
      </c>
      <c r="AA261" s="86">
        <f t="shared" si="30"/>
        <v>0</v>
      </c>
      <c r="AB261" s="86">
        <f t="shared" si="30"/>
        <v>0</v>
      </c>
      <c r="AC261" s="146"/>
      <c r="AD261" s="146"/>
      <c r="AE261" s="1075"/>
      <c r="AF261" s="1076"/>
      <c r="AG261" s="1072" t="s">
        <v>238</v>
      </c>
      <c r="AH261" s="1072" t="s">
        <v>239</v>
      </c>
      <c r="AK261" s="146"/>
      <c r="AL261" s="146"/>
      <c r="AM261" s="146"/>
      <c r="AN261" s="146"/>
    </row>
    <row r="262" spans="2:40" x14ac:dyDescent="0.25">
      <c r="B262" s="12" t="s">
        <v>37</v>
      </c>
      <c r="C262" s="13" t="s">
        <v>38</v>
      </c>
      <c r="D262" s="3" t="s">
        <v>10</v>
      </c>
      <c r="E262" s="44">
        <v>0</v>
      </c>
      <c r="F262" s="337">
        <v>0</v>
      </c>
      <c r="G262" s="44">
        <v>0</v>
      </c>
      <c r="H262" s="30">
        <f>IF(YEAR(Postup!$H$25)&gt;$D$232,Provozování!Z39,IF(AND(DAY(Postup!$H$25)=31,MONTH(Postup!$H$25)=12,YEAR(Postup!$H$25)=$D$232),Provozování!Z39,IF(YEAR(Postup!$H$25)=$D$232,Provozování!$BM39,0)))</f>
        <v>0</v>
      </c>
      <c r="K262" s="12" t="s">
        <v>37</v>
      </c>
      <c r="L262" s="13" t="s">
        <v>38</v>
      </c>
      <c r="M262" s="3" t="s">
        <v>10</v>
      </c>
      <c r="N262" s="44">
        <v>0</v>
      </c>
      <c r="O262" s="337">
        <v>0</v>
      </c>
      <c r="P262" s="44">
        <v>0</v>
      </c>
      <c r="Q262" s="53">
        <f>IF(Provozování!$AA$16="Neaktivní",0,Provozování!AB39)</f>
        <v>0</v>
      </c>
      <c r="T262" s="12" t="s">
        <v>37</v>
      </c>
      <c r="U262" s="13" t="s">
        <v>38</v>
      </c>
      <c r="V262" s="3" t="s">
        <v>10</v>
      </c>
      <c r="W262" s="337">
        <v>0</v>
      </c>
      <c r="X262" s="337">
        <v>0</v>
      </c>
      <c r="Y262" s="337">
        <v>0</v>
      </c>
      <c r="Z262" s="462">
        <v>0</v>
      </c>
      <c r="AA262" s="44">
        <f>IF(Provozování!$AA$16="Neaktivní",H262,Q262)</f>
        <v>0</v>
      </c>
      <c r="AB262" s="30">
        <f>Z262-AA262</f>
        <v>0</v>
      </c>
      <c r="AC262" s="146"/>
      <c r="AD262" s="146"/>
      <c r="AE262" s="1077"/>
      <c r="AF262" s="1078"/>
      <c r="AG262" s="1000"/>
      <c r="AH262" s="1000"/>
      <c r="AK262" s="146"/>
      <c r="AL262" s="146"/>
      <c r="AM262" s="146"/>
      <c r="AN262" s="146"/>
    </row>
    <row r="263" spans="2:40" x14ac:dyDescent="0.25">
      <c r="B263" s="12" t="s">
        <v>39</v>
      </c>
      <c r="C263" s="12" t="s">
        <v>40</v>
      </c>
      <c r="D263" s="3" t="s">
        <v>10</v>
      </c>
      <c r="E263" s="44">
        <v>0</v>
      </c>
      <c r="F263" s="456">
        <f>IF(YEAR(Postup!$H$25)&gt;$D$232,Provozování!Y40,IF(AND(DAY(Postup!$H$25)=31,MONTH(Postup!$H$25)=12,YEAR(Postup!$H$25)=$D$232),Provozování!Y40,IF(YEAR(Postup!$H$25)=$D$232,Provozování!$BL40,0)))</f>
        <v>0</v>
      </c>
      <c r="G263" s="44">
        <v>0</v>
      </c>
      <c r="H263" s="457">
        <f>IF(YEAR(Postup!$H$25)&gt;$D$232,Provozování!Z40,IF(AND(DAY(Postup!$H$25)=31,MONTH(Postup!$H$25)=12,YEAR(Postup!$H$25)=$D$232),Provozování!Z40,IF(YEAR(Postup!$H$25)=$D$232,Provozování!$BM40,0)))</f>
        <v>0</v>
      </c>
      <c r="K263" s="12" t="s">
        <v>39</v>
      </c>
      <c r="L263" s="12" t="s">
        <v>40</v>
      </c>
      <c r="M263" s="3" t="s">
        <v>10</v>
      </c>
      <c r="N263" s="44">
        <v>0</v>
      </c>
      <c r="O263" s="456">
        <f>IF(Provozování!$AA$16="Neaktivní",0,Provozování!AA40)</f>
        <v>0</v>
      </c>
      <c r="P263" s="44">
        <v>0</v>
      </c>
      <c r="Q263" s="457">
        <f>IF(Provozování!$AA$16="Neaktivní",0,Provozování!AB40)</f>
        <v>0</v>
      </c>
      <c r="T263" s="12" t="s">
        <v>39</v>
      </c>
      <c r="U263" s="12" t="s">
        <v>40</v>
      </c>
      <c r="V263" s="3" t="s">
        <v>10</v>
      </c>
      <c r="W263" s="462">
        <v>0</v>
      </c>
      <c r="X263" s="44">
        <f>IF(Provozování!$AA$16="Neaktivní",F263,O263)</f>
        <v>0</v>
      </c>
      <c r="Y263" s="44">
        <f>W263-X263</f>
        <v>0</v>
      </c>
      <c r="Z263" s="462">
        <v>0</v>
      </c>
      <c r="AA263" s="44">
        <f>IF(Provozování!$AA$16="Neaktivní",H263,Q263)</f>
        <v>0</v>
      </c>
      <c r="AB263" s="30">
        <f>Z263-AA263</f>
        <v>0</v>
      </c>
      <c r="AC263" s="146"/>
      <c r="AD263" s="146"/>
      <c r="AE263" s="12" t="s">
        <v>326</v>
      </c>
      <c r="AF263" s="12" t="s">
        <v>329</v>
      </c>
      <c r="AG263" s="423">
        <f>Z298</f>
        <v>0</v>
      </c>
      <c r="AH263" s="423">
        <f>AB298</f>
        <v>0</v>
      </c>
      <c r="AK263" s="146"/>
      <c r="AL263" s="146"/>
      <c r="AM263" s="146"/>
      <c r="AN263" s="146"/>
    </row>
    <row r="264" spans="2:40" x14ac:dyDescent="0.25">
      <c r="B264" s="12" t="s">
        <v>41</v>
      </c>
      <c r="C264" s="13" t="s">
        <v>42</v>
      </c>
      <c r="D264" s="3" t="s">
        <v>10</v>
      </c>
      <c r="E264" s="44">
        <v>0</v>
      </c>
      <c r="F264" s="456">
        <f>IF(YEAR(Postup!$H$25)&gt;$D$232,Provozování!Y41,IF(AND(DAY(Postup!$H$25)=31,MONTH(Postup!$H$25)=12,YEAR(Postup!$H$25)=$D$232),Provozování!Y41,IF(YEAR(Postup!$H$25)=$D$232,Provozování!$BL41,0)))</f>
        <v>0</v>
      </c>
      <c r="G264" s="44">
        <v>0</v>
      </c>
      <c r="H264" s="457">
        <f>IF(YEAR(Postup!$H$25)&gt;$D$232,Provozování!Z41,IF(AND(DAY(Postup!$H$25)=31,MONTH(Postup!$H$25)=12,YEAR(Postup!$H$25)=$D$232),Provozování!Z41,IF(YEAR(Postup!$H$25)=$D$232,Provozování!$BM41,0)))</f>
        <v>0</v>
      </c>
      <c r="K264" s="12" t="s">
        <v>41</v>
      </c>
      <c r="L264" s="13" t="s">
        <v>42</v>
      </c>
      <c r="M264" s="3" t="s">
        <v>10</v>
      </c>
      <c r="N264" s="44">
        <v>0</v>
      </c>
      <c r="O264" s="456">
        <f>IF(Provozování!$AA$16="Neaktivní",0,Provozování!AA41)</f>
        <v>0</v>
      </c>
      <c r="P264" s="44">
        <v>0</v>
      </c>
      <c r="Q264" s="457">
        <f>IF(Provozování!$AA$16="Neaktivní",0,Provozování!AB41)</f>
        <v>0</v>
      </c>
      <c r="T264" s="12" t="s">
        <v>41</v>
      </c>
      <c r="U264" s="13" t="s">
        <v>42</v>
      </c>
      <c r="V264" s="3" t="s">
        <v>10</v>
      </c>
      <c r="W264" s="462">
        <v>0</v>
      </c>
      <c r="X264" s="44">
        <f>IF(Provozování!$AA$16="Neaktivní",F264,O264)</f>
        <v>0</v>
      </c>
      <c r="Y264" s="44">
        <f>W264-X264</f>
        <v>0</v>
      </c>
      <c r="Z264" s="462">
        <v>0</v>
      </c>
      <c r="AA264" s="44">
        <f>IF(Provozování!$AA$16="Neaktivní",H264,Q264)</f>
        <v>0</v>
      </c>
      <c r="AB264" s="30">
        <f>Z264-AA264</f>
        <v>0</v>
      </c>
      <c r="AC264" s="146"/>
      <c r="AD264" s="146"/>
      <c r="AE264" s="12" t="s">
        <v>327</v>
      </c>
      <c r="AF264" s="13" t="s">
        <v>331</v>
      </c>
      <c r="AG264" s="270">
        <f>Y297</f>
        <v>0</v>
      </c>
      <c r="AH264" s="270">
        <f>AA297</f>
        <v>0</v>
      </c>
      <c r="AK264" s="146"/>
      <c r="AL264" s="146"/>
      <c r="AM264" s="146"/>
      <c r="AN264" s="146"/>
    </row>
    <row r="265" spans="2:40" x14ac:dyDescent="0.25">
      <c r="B265" s="9" t="s">
        <v>43</v>
      </c>
      <c r="C265" s="10" t="s">
        <v>44</v>
      </c>
      <c r="D265" s="11" t="s">
        <v>10</v>
      </c>
      <c r="E265" s="44">
        <v>0</v>
      </c>
      <c r="F265" s="456">
        <f>IF(YEAR(Postup!$H$25)&gt;$D$232,Provozování!Y42,IF(AND(DAY(Postup!$H$25)=31,MONTH(Postup!$H$25)=12,YEAR(Postup!$H$25)=$D$232),Provozování!Y42,IF(YEAR(Postup!$H$25)=$D$232,Provozování!$BL42,0)))</f>
        <v>0</v>
      </c>
      <c r="G265" s="44">
        <v>0</v>
      </c>
      <c r="H265" s="457">
        <f>IF(YEAR(Postup!$H$25)&gt;$D$232,Provozování!Z42,IF(AND(DAY(Postup!$H$25)=31,MONTH(Postup!$H$25)=12,YEAR(Postup!$H$25)=$D$232),Provozování!Z42,IF(YEAR(Postup!$H$25)=$D$232,Provozování!$BM42,0)))</f>
        <v>0</v>
      </c>
      <c r="K265" s="9" t="s">
        <v>43</v>
      </c>
      <c r="L265" s="10" t="s">
        <v>44</v>
      </c>
      <c r="M265" s="11" t="s">
        <v>10</v>
      </c>
      <c r="N265" s="44">
        <v>0</v>
      </c>
      <c r="O265" s="456">
        <f>IF(Provozování!$AA$16="Neaktivní",0,Provozování!AA42)</f>
        <v>0</v>
      </c>
      <c r="P265" s="44">
        <v>0</v>
      </c>
      <c r="Q265" s="461">
        <f>IF(Provozování!$AA$16="Neaktivní",0,Provozování!AB42)</f>
        <v>0</v>
      </c>
      <c r="T265" s="9" t="s">
        <v>43</v>
      </c>
      <c r="U265" s="10" t="s">
        <v>44</v>
      </c>
      <c r="V265" s="11" t="s">
        <v>10</v>
      </c>
      <c r="W265" s="462">
        <v>0</v>
      </c>
      <c r="X265" s="44">
        <f>IF(Provozování!$AA$16="Neaktivní",F265,O265)</f>
        <v>0</v>
      </c>
      <c r="Y265" s="44">
        <f>W265-X265</f>
        <v>0</v>
      </c>
      <c r="Z265" s="462">
        <v>0</v>
      </c>
      <c r="AA265" s="44">
        <f>IF(Provozování!$AA$16="Neaktivní",H265,Q265)</f>
        <v>0</v>
      </c>
      <c r="AB265" s="30">
        <f>Z265-AA265</f>
        <v>0</v>
      </c>
      <c r="AC265" s="146"/>
      <c r="AD265" s="146"/>
      <c r="AE265" s="12" t="s">
        <v>328</v>
      </c>
      <c r="AF265" s="13" t="s">
        <v>330</v>
      </c>
      <c r="AG265" s="270">
        <f>Z297</f>
        <v>0</v>
      </c>
      <c r="AH265" s="270">
        <f>AB297</f>
        <v>0</v>
      </c>
      <c r="AK265" s="146"/>
      <c r="AL265" s="146"/>
      <c r="AM265" s="146"/>
      <c r="AN265" s="146"/>
    </row>
    <row r="266" spans="2:40" x14ac:dyDescent="0.25">
      <c r="B266" s="9" t="s">
        <v>45</v>
      </c>
      <c r="C266" s="10" t="s">
        <v>388</v>
      </c>
      <c r="D266" s="11" t="s">
        <v>10</v>
      </c>
      <c r="E266" s="44">
        <v>0</v>
      </c>
      <c r="F266" s="456">
        <f>IF(YEAR(Postup!$H$25)&gt;$D$232,Provozování!Y43,IF(AND(DAY(Postup!$H$25)=31,MONTH(Postup!$H$25)=12,YEAR(Postup!$H$25)=$D$232),Provozování!Y43,IF(YEAR(Postup!$H$25)=$D$232,Provozování!$BL43,0)))</f>
        <v>0</v>
      </c>
      <c r="G266" s="44">
        <v>0</v>
      </c>
      <c r="H266" s="457">
        <f>IF(YEAR(Postup!$H$25)&gt;$D$232,Provozování!Z43,IF(AND(DAY(Postup!$H$25)=31,MONTH(Postup!$H$25)=12,YEAR(Postup!$H$25)=$D$232),Provozování!Z43,IF(YEAR(Postup!$H$25)=$D$232,Provozování!$BM43,0)))</f>
        <v>0</v>
      </c>
      <c r="K266" s="9" t="s">
        <v>45</v>
      </c>
      <c r="L266" s="10" t="s">
        <v>388</v>
      </c>
      <c r="M266" s="11" t="s">
        <v>10</v>
      </c>
      <c r="N266" s="44">
        <v>0</v>
      </c>
      <c r="O266" s="456">
        <f>IF(Provozování!$AA$16="Neaktivní",0,Provozování!AA43)</f>
        <v>0</v>
      </c>
      <c r="P266" s="44">
        <v>0</v>
      </c>
      <c r="Q266" s="461">
        <f>IF(Provozování!$AA$16="Neaktivní",0,Provozování!AB43)</f>
        <v>0</v>
      </c>
      <c r="T266" s="9" t="s">
        <v>45</v>
      </c>
      <c r="U266" s="10" t="s">
        <v>388</v>
      </c>
      <c r="V266" s="11" t="s">
        <v>10</v>
      </c>
      <c r="W266" s="462">
        <v>0</v>
      </c>
      <c r="X266" s="44">
        <f>IF(Provozování!$AA$16="Neaktivní",F266,O266)</f>
        <v>0</v>
      </c>
      <c r="Y266" s="44">
        <f>ABS(W266)-ABS(X266)</f>
        <v>0</v>
      </c>
      <c r="Z266" s="462">
        <v>0</v>
      </c>
      <c r="AA266" s="44">
        <f>IF(Provozování!$AA$16="Neaktivní",H266,Q266)</f>
        <v>0</v>
      </c>
      <c r="AB266" s="30">
        <f>ABS(Z266)-ABS(AA266)</f>
        <v>0</v>
      </c>
      <c r="AC266" s="146"/>
      <c r="AD266" s="146"/>
      <c r="AE266" s="12" t="s">
        <v>332</v>
      </c>
      <c r="AF266" s="12" t="s">
        <v>340</v>
      </c>
      <c r="AG266" s="270">
        <f>X270-(X258+X260)</f>
        <v>0</v>
      </c>
      <c r="AH266" s="270">
        <f>AA270-(AA258+AA260)</f>
        <v>0</v>
      </c>
      <c r="AK266" s="146"/>
      <c r="AL266" s="146"/>
      <c r="AM266" s="146"/>
      <c r="AN266" s="146"/>
    </row>
    <row r="267" spans="2:40" x14ac:dyDescent="0.25">
      <c r="B267" s="9" t="s">
        <v>46</v>
      </c>
      <c r="C267" s="10" t="s">
        <v>47</v>
      </c>
      <c r="D267" s="11" t="s">
        <v>10</v>
      </c>
      <c r="E267" s="44">
        <v>0</v>
      </c>
      <c r="F267" s="456">
        <f>IF(YEAR(Postup!$H$25)&gt;$D$232,Provozování!Y44,IF(AND(DAY(Postup!$H$25)=31,MONTH(Postup!$H$25)=12,YEAR(Postup!$H$25)=$D$232),Provozování!Y44,IF(YEAR(Postup!$H$25)=$D$232,Provozování!$BL44,0)))</f>
        <v>0</v>
      </c>
      <c r="G267" s="44">
        <v>0</v>
      </c>
      <c r="H267" s="457">
        <f>IF(YEAR(Postup!$H$25)&gt;$D$232,Provozování!Z44,IF(AND(DAY(Postup!$H$25)=31,MONTH(Postup!$H$25)=12,YEAR(Postup!$H$25)=$D$232),Provozování!Z44,IF(YEAR(Postup!$H$25)=$D$232,Provozování!$BM44,0)))</f>
        <v>0</v>
      </c>
      <c r="K267" s="9" t="s">
        <v>46</v>
      </c>
      <c r="L267" s="10" t="s">
        <v>47</v>
      </c>
      <c r="M267" s="11" t="s">
        <v>10</v>
      </c>
      <c r="N267" s="44">
        <v>0</v>
      </c>
      <c r="O267" s="456">
        <f>IF(Provozování!$AA$16="Neaktivní",0,Provozování!AA44)</f>
        <v>0</v>
      </c>
      <c r="P267" s="44">
        <v>0</v>
      </c>
      <c r="Q267" s="457">
        <f>IF(Provozování!$AA$16="Neaktivní",0,Provozování!AB44)</f>
        <v>0</v>
      </c>
      <c r="T267" s="9" t="s">
        <v>46</v>
      </c>
      <c r="U267" s="10" t="s">
        <v>47</v>
      </c>
      <c r="V267" s="11" t="s">
        <v>10</v>
      </c>
      <c r="W267" s="462">
        <v>0</v>
      </c>
      <c r="X267" s="44">
        <f>IF(Provozování!$AA$16="Neaktivní",F267,O267)</f>
        <v>0</v>
      </c>
      <c r="Y267" s="44">
        <f>W267-X267</f>
        <v>0</v>
      </c>
      <c r="Z267" s="462">
        <v>0</v>
      </c>
      <c r="AA267" s="44">
        <f>IF(Provozování!$AA$16="Neaktivní",H267,Q267)</f>
        <v>0</v>
      </c>
      <c r="AB267" s="30">
        <f>Z267-AA267</f>
        <v>0</v>
      </c>
      <c r="AC267" s="146"/>
      <c r="AD267" s="146"/>
      <c r="AE267" s="12" t="s">
        <v>333</v>
      </c>
      <c r="AF267" s="12" t="s">
        <v>339</v>
      </c>
      <c r="AG267" s="270">
        <f>W270-(W258+W260)</f>
        <v>0</v>
      </c>
      <c r="AH267" s="270">
        <f>Z270-(Z258+Z260)</f>
        <v>0</v>
      </c>
      <c r="AK267" s="146"/>
      <c r="AL267" s="146"/>
      <c r="AM267" s="146"/>
      <c r="AN267" s="146"/>
    </row>
    <row r="268" spans="2:40" x14ac:dyDescent="0.25">
      <c r="B268" s="9" t="s">
        <v>48</v>
      </c>
      <c r="C268" s="10" t="s">
        <v>49</v>
      </c>
      <c r="D268" s="11" t="s">
        <v>10</v>
      </c>
      <c r="E268" s="44">
        <v>0</v>
      </c>
      <c r="F268" s="456">
        <f>IF(YEAR(Postup!$H$25)&gt;$D$232,Provozování!Y45,IF(AND(DAY(Postup!$H$25)=31,MONTH(Postup!$H$25)=12,YEAR(Postup!$H$25)=$D$232),Provozování!Y45,IF(YEAR(Postup!$H$25)=$D$232,Provozování!$BL45,0)))</f>
        <v>0</v>
      </c>
      <c r="G268" s="44">
        <v>0</v>
      </c>
      <c r="H268" s="457">
        <f>IF(YEAR(Postup!$H$25)&gt;$D$232,Provozování!Z45,IF(AND(DAY(Postup!$H$25)=31,MONTH(Postup!$H$25)=12,YEAR(Postup!$H$25)=$D$232),Provozování!Z45,IF(YEAR(Postup!$H$25)=$D$232,Provozování!$BM45,0)))</f>
        <v>0</v>
      </c>
      <c r="K268" s="9" t="s">
        <v>48</v>
      </c>
      <c r="L268" s="10" t="s">
        <v>49</v>
      </c>
      <c r="M268" s="11" t="s">
        <v>10</v>
      </c>
      <c r="N268" s="44">
        <v>0</v>
      </c>
      <c r="O268" s="456">
        <f>IF(Provozování!$AA$16="Neaktivní",0,Provozování!AA45)</f>
        <v>0</v>
      </c>
      <c r="P268" s="44">
        <v>0</v>
      </c>
      <c r="Q268" s="457">
        <f>IF(Provozování!$AA$16="Neaktivní",0,Provozování!AB45)</f>
        <v>0</v>
      </c>
      <c r="T268" s="9" t="s">
        <v>48</v>
      </c>
      <c r="U268" s="10" t="s">
        <v>49</v>
      </c>
      <c r="V268" s="11" t="s">
        <v>10</v>
      </c>
      <c r="W268" s="462">
        <v>0</v>
      </c>
      <c r="X268" s="44">
        <f>IF(Provozování!$AA$16="Neaktivní",F268,O268)</f>
        <v>0</v>
      </c>
      <c r="Y268" s="44">
        <f>W268-X268</f>
        <v>0</v>
      </c>
      <c r="Z268" s="462">
        <v>0</v>
      </c>
      <c r="AA268" s="44">
        <f>IF(Provozování!$AA$16="Neaktivní",H268,Q268)</f>
        <v>0</v>
      </c>
      <c r="AB268" s="30">
        <f>Z268-AA268</f>
        <v>0</v>
      </c>
      <c r="AC268" s="146"/>
      <c r="AD268" s="146"/>
      <c r="AE268" s="12" t="s">
        <v>345</v>
      </c>
      <c r="AF268" s="12" t="s">
        <v>346</v>
      </c>
      <c r="AG268" s="270">
        <f>Provozování!Y$102</f>
        <v>0</v>
      </c>
      <c r="AH268" s="270">
        <f>Provozování!Z$102</f>
        <v>0</v>
      </c>
      <c r="AK268" s="146"/>
      <c r="AL268" s="146"/>
      <c r="AM268" s="146"/>
      <c r="AN268" s="146"/>
    </row>
    <row r="269" spans="2:40" x14ac:dyDescent="0.25">
      <c r="B269" s="12" t="s">
        <v>386</v>
      </c>
      <c r="C269" s="12" t="s">
        <v>385</v>
      </c>
      <c r="D269" s="3" t="s">
        <v>10</v>
      </c>
      <c r="E269" s="44"/>
      <c r="F269" s="456">
        <f>Provozování!Y46</f>
        <v>0.02</v>
      </c>
      <c r="G269" s="44"/>
      <c r="H269" s="457">
        <f>Provozování!Z46</f>
        <v>0.02</v>
      </c>
      <c r="K269" s="12" t="s">
        <v>386</v>
      </c>
      <c r="L269" s="12" t="s">
        <v>385</v>
      </c>
      <c r="M269" s="3" t="s">
        <v>10</v>
      </c>
      <c r="N269" s="44"/>
      <c r="O269" s="456">
        <f>IF(Provozování!$AA$16="Neaktivní",0,Provozování!AA46)</f>
        <v>0</v>
      </c>
      <c r="P269" s="44"/>
      <c r="Q269" s="457">
        <f>IF(Provozování!$AA$16="Neaktivní",0,Provozování!AB46)</f>
        <v>0</v>
      </c>
      <c r="T269" s="12" t="s">
        <v>386</v>
      </c>
      <c r="U269" s="12" t="s">
        <v>385</v>
      </c>
      <c r="V269" s="3" t="s">
        <v>10</v>
      </c>
      <c r="W269" s="462">
        <v>0</v>
      </c>
      <c r="X269" s="44"/>
      <c r="Y269" s="44"/>
      <c r="Z269" s="462">
        <v>0</v>
      </c>
      <c r="AA269" s="44"/>
      <c r="AB269" s="30"/>
      <c r="AC269" s="146"/>
      <c r="AD269" s="146"/>
      <c r="AE269" s="435" t="s">
        <v>349</v>
      </c>
      <c r="AF269" s="436"/>
      <c r="AG269" s="1066">
        <f>(AG263*AG264-AG263*AG265)+(AG266-AG267)-AG268</f>
        <v>0</v>
      </c>
      <c r="AH269" s="1066">
        <f>(AH263*AH264-AH263*AH265)+(AH266-AH267)-AH268</f>
        <v>0</v>
      </c>
      <c r="AK269" s="146"/>
      <c r="AL269" s="146"/>
      <c r="AM269" s="146"/>
      <c r="AN269" s="146"/>
    </row>
    <row r="270" spans="2:40" x14ac:dyDescent="0.25">
      <c r="B270" s="9" t="s">
        <v>50</v>
      </c>
      <c r="C270" s="10" t="s">
        <v>391</v>
      </c>
      <c r="D270" s="11" t="s">
        <v>10</v>
      </c>
      <c r="E270" s="41">
        <f>E245+E250+E253+E256+E261+E265+E266+E267+E268</f>
        <v>0</v>
      </c>
      <c r="F270" s="41">
        <f>F245+F250+F253+F256+F261+F265+F266+F267+F268</f>
        <v>0</v>
      </c>
      <c r="G270" s="41">
        <f>G245+G250+G253+G256+G261+G265+G266+G267+G268</f>
        <v>0</v>
      </c>
      <c r="H270" s="86">
        <f>H245+H250+H253+H256+H261+H265+H266+H267+H268</f>
        <v>0</v>
      </c>
      <c r="K270" s="9" t="s">
        <v>50</v>
      </c>
      <c r="L270" s="10" t="s">
        <v>391</v>
      </c>
      <c r="M270" s="11" t="s">
        <v>10</v>
      </c>
      <c r="N270" s="41">
        <f>N245+N250+N253+N256+N261+N265+N266+N267+N268</f>
        <v>0</v>
      </c>
      <c r="O270" s="41">
        <f>O245+O250+O253+O256+O261+O265+O266+O267+O268</f>
        <v>0</v>
      </c>
      <c r="P270" s="41">
        <f>P245+P250+P253+P256+P261+P265+P266+P267+P268</f>
        <v>0</v>
      </c>
      <c r="Q270" s="86">
        <f>Q245+Q250+Q253+Q256+Q261+Q265+Q266+Q267+Q268</f>
        <v>0</v>
      </c>
      <c r="T270" s="9" t="s">
        <v>50</v>
      </c>
      <c r="U270" s="10" t="s">
        <v>391</v>
      </c>
      <c r="V270" s="11" t="s">
        <v>10</v>
      </c>
      <c r="W270" s="41">
        <f t="shared" ref="W270:AB270" si="31">W245+W250+W253+W256+W261+W265+W266+W267+W268</f>
        <v>0</v>
      </c>
      <c r="X270" s="41">
        <f t="shared" si="31"/>
        <v>0</v>
      </c>
      <c r="Y270" s="41">
        <f t="shared" si="31"/>
        <v>0</v>
      </c>
      <c r="Z270" s="41">
        <f t="shared" si="31"/>
        <v>0</v>
      </c>
      <c r="AA270" s="41">
        <f t="shared" si="31"/>
        <v>0</v>
      </c>
      <c r="AB270" s="86">
        <f t="shared" si="31"/>
        <v>0</v>
      </c>
      <c r="AC270" s="146"/>
      <c r="AD270" s="146"/>
      <c r="AE270" s="425" t="s">
        <v>347</v>
      </c>
      <c r="AF270" s="424"/>
      <c r="AG270" s="1067"/>
      <c r="AH270" s="1067"/>
      <c r="AK270" s="146"/>
      <c r="AL270" s="146"/>
      <c r="AM270" s="146"/>
      <c r="AN270" s="146"/>
    </row>
    <row r="271" spans="2:40" hidden="1" x14ac:dyDescent="0.25">
      <c r="B271" s="12" t="s">
        <v>389</v>
      </c>
      <c r="C271" s="13" t="s">
        <v>96</v>
      </c>
      <c r="D271" s="3" t="s">
        <v>10</v>
      </c>
      <c r="E271" s="329">
        <v>0</v>
      </c>
      <c r="F271" s="458">
        <f>F195</f>
        <v>0</v>
      </c>
      <c r="G271" s="329">
        <v>0</v>
      </c>
      <c r="H271" s="460">
        <f>H195</f>
        <v>0</v>
      </c>
      <c r="K271" s="12" t="s">
        <v>389</v>
      </c>
      <c r="L271" s="13" t="s">
        <v>96</v>
      </c>
      <c r="M271" s="3" t="s">
        <v>10</v>
      </c>
      <c r="N271" s="329">
        <v>0</v>
      </c>
      <c r="O271" s="329">
        <f>IF(Provozování!$V$16="Neaktivní",0,F271)</f>
        <v>0</v>
      </c>
      <c r="P271" s="329">
        <v>0</v>
      </c>
      <c r="Q271" s="330">
        <f>IF(Provozování!$V$16="Neaktivní",0,H271)</f>
        <v>0</v>
      </c>
      <c r="T271" s="42" t="s">
        <v>389</v>
      </c>
      <c r="U271" s="13" t="s">
        <v>96</v>
      </c>
      <c r="V271" s="3" t="s">
        <v>10</v>
      </c>
      <c r="W271" s="458">
        <v>0</v>
      </c>
      <c r="X271" s="329">
        <f>F271</f>
        <v>0</v>
      </c>
      <c r="Y271" s="329">
        <f>W271-X271</f>
        <v>0</v>
      </c>
      <c r="Z271" s="458">
        <v>0</v>
      </c>
      <c r="AA271" s="329">
        <f>H271</f>
        <v>0</v>
      </c>
      <c r="AB271" s="330">
        <f>Z271-AA271</f>
        <v>0</v>
      </c>
      <c r="AC271" s="146"/>
      <c r="AD271" s="146"/>
      <c r="AK271" s="146"/>
      <c r="AL271" s="146"/>
      <c r="AM271" s="146"/>
      <c r="AN271" s="146"/>
    </row>
    <row r="272" spans="2:40" hidden="1" x14ac:dyDescent="0.25">
      <c r="B272" s="12" t="s">
        <v>389</v>
      </c>
      <c r="C272" s="13" t="s">
        <v>97</v>
      </c>
      <c r="D272" s="3" t="s">
        <v>10</v>
      </c>
      <c r="E272" s="329">
        <v>0</v>
      </c>
      <c r="F272" s="458">
        <f>F196</f>
        <v>0</v>
      </c>
      <c r="G272" s="329">
        <v>0</v>
      </c>
      <c r="H272" s="460">
        <f>H196</f>
        <v>0</v>
      </c>
      <c r="K272" s="12" t="s">
        <v>389</v>
      </c>
      <c r="L272" s="13" t="s">
        <v>97</v>
      </c>
      <c r="M272" s="3" t="s">
        <v>10</v>
      </c>
      <c r="N272" s="329">
        <v>0</v>
      </c>
      <c r="O272" s="329">
        <f>IF(Provozování!$V$16="Neaktivní",0,F272)</f>
        <v>0</v>
      </c>
      <c r="P272" s="329">
        <v>0</v>
      </c>
      <c r="Q272" s="330">
        <f>IF(Provozování!$V$16="Neaktivní",0,H272)</f>
        <v>0</v>
      </c>
      <c r="T272" s="12" t="s">
        <v>389</v>
      </c>
      <c r="U272" s="13" t="s">
        <v>97</v>
      </c>
      <c r="V272" s="3" t="s">
        <v>10</v>
      </c>
      <c r="W272" s="458">
        <v>0</v>
      </c>
      <c r="X272" s="329">
        <f>F272</f>
        <v>0</v>
      </c>
      <c r="Y272" s="329">
        <f>W272-X272</f>
        <v>0</v>
      </c>
      <c r="Z272" s="458">
        <v>0</v>
      </c>
      <c r="AA272" s="329">
        <f>H272</f>
        <v>0</v>
      </c>
      <c r="AB272" s="330">
        <f>Z272-AA272</f>
        <v>0</v>
      </c>
      <c r="AC272" s="146"/>
      <c r="AD272" s="146"/>
      <c r="AK272" s="146"/>
      <c r="AL272" s="146"/>
      <c r="AM272" s="146"/>
      <c r="AN272" s="146"/>
    </row>
    <row r="273" spans="2:40" x14ac:dyDescent="0.25">
      <c r="B273" s="12" t="s">
        <v>51</v>
      </c>
      <c r="C273" s="13" t="s">
        <v>54</v>
      </c>
      <c r="D273" s="3" t="s">
        <v>55</v>
      </c>
      <c r="E273" s="331">
        <v>0</v>
      </c>
      <c r="F273" s="459">
        <f>F197</f>
        <v>0</v>
      </c>
      <c r="G273" s="331">
        <v>0</v>
      </c>
      <c r="H273" s="459">
        <f>H197</f>
        <v>0</v>
      </c>
      <c r="K273" s="12" t="s">
        <v>51</v>
      </c>
      <c r="L273" s="13" t="s">
        <v>54</v>
      </c>
      <c r="M273" s="3" t="s">
        <v>55</v>
      </c>
      <c r="N273" s="331">
        <v>0</v>
      </c>
      <c r="O273" s="331">
        <f>IF(Provozování!$V$16="Neaktivní",0,F273)</f>
        <v>0</v>
      </c>
      <c r="P273" s="331">
        <v>0</v>
      </c>
      <c r="Q273" s="332">
        <f>IF(Provozování!$V$16="Neaktivní",0,H273)</f>
        <v>0</v>
      </c>
      <c r="T273" s="12" t="s">
        <v>51</v>
      </c>
      <c r="U273" s="13" t="s">
        <v>54</v>
      </c>
      <c r="V273" s="3" t="s">
        <v>55</v>
      </c>
      <c r="W273" s="466">
        <v>0</v>
      </c>
      <c r="X273" s="331">
        <f>F273</f>
        <v>0</v>
      </c>
      <c r="Y273" s="332">
        <f>W273-X273</f>
        <v>0</v>
      </c>
      <c r="Z273" s="466">
        <v>0</v>
      </c>
      <c r="AA273" s="331">
        <f>H273</f>
        <v>0</v>
      </c>
      <c r="AB273" s="332">
        <f>Z273-AA273</f>
        <v>0</v>
      </c>
      <c r="AC273" s="146"/>
      <c r="AD273" s="146"/>
      <c r="AE273" s="1068" t="s">
        <v>337</v>
      </c>
      <c r="AF273" s="1069"/>
      <c r="AG273" s="1072" t="str">
        <f>IF(AG269&gt;0,"úspora",IF(AG269&lt;0,"ztráta provozovatele","-"))</f>
        <v>-</v>
      </c>
      <c r="AH273" s="1072" t="str">
        <f>IF(AH269&gt;0,"úspora",IF(AH269&lt;0,"ztráta provozovatele","-"))</f>
        <v>-</v>
      </c>
      <c r="AK273" s="146"/>
      <c r="AL273" s="146"/>
      <c r="AM273" s="146"/>
      <c r="AN273" s="146"/>
    </row>
    <row r="274" spans="2:40" x14ac:dyDescent="0.25">
      <c r="B274" s="12" t="s">
        <v>52</v>
      </c>
      <c r="C274" s="13" t="s">
        <v>57</v>
      </c>
      <c r="D274" s="3" t="s">
        <v>58</v>
      </c>
      <c r="E274" s="44">
        <v>0</v>
      </c>
      <c r="F274" s="44">
        <f>IF(YEAR(Postup!$H$25)&gt;$D$232,Provozování!Y49,IF(AND(DAY(Postup!$H$25)=31,MONTH(Postup!$H$25)=12,YEAR(Postup!$H$25)=$D$232),Provozování!Y49,IF(YEAR(Postup!$H$25)=$D$232,Provozování!$BL49,0)))</f>
        <v>0</v>
      </c>
      <c r="G274" s="44">
        <v>0</v>
      </c>
      <c r="H274" s="334">
        <v>0</v>
      </c>
      <c r="K274" s="12" t="s">
        <v>52</v>
      </c>
      <c r="L274" s="13" t="s">
        <v>57</v>
      </c>
      <c r="M274" s="3" t="s">
        <v>58</v>
      </c>
      <c r="N274" s="44">
        <v>0</v>
      </c>
      <c r="O274" s="44">
        <f>IF(Provozování!$AA$16="Neaktivní",0,Provozování!AA49)</f>
        <v>0</v>
      </c>
      <c r="P274" s="44">
        <v>0</v>
      </c>
      <c r="Q274" s="334">
        <v>0</v>
      </c>
      <c r="T274" s="12" t="s">
        <v>52</v>
      </c>
      <c r="U274" s="13" t="s">
        <v>57</v>
      </c>
      <c r="V274" s="3" t="s">
        <v>58</v>
      </c>
      <c r="W274" s="462">
        <v>0</v>
      </c>
      <c r="X274" s="44">
        <f>IF(Provozování!$AA$16="Neaktivní",F274,O274)</f>
        <v>0</v>
      </c>
      <c r="Y274" s="44">
        <f>W274-X274</f>
        <v>0</v>
      </c>
      <c r="Z274" s="337">
        <v>0</v>
      </c>
      <c r="AA274" s="337">
        <v>0</v>
      </c>
      <c r="AB274" s="334">
        <v>0</v>
      </c>
      <c r="AC274" s="146"/>
      <c r="AD274" s="146"/>
      <c r="AE274" s="1070"/>
      <c r="AF274" s="1071"/>
      <c r="AG274" s="1000"/>
      <c r="AH274" s="1000"/>
      <c r="AK274" s="146"/>
      <c r="AL274" s="146"/>
      <c r="AM274" s="146"/>
      <c r="AN274" s="146"/>
    </row>
    <row r="275" spans="2:40" x14ac:dyDescent="0.25">
      <c r="B275" s="12" t="s">
        <v>53</v>
      </c>
      <c r="C275" s="13" t="s">
        <v>60</v>
      </c>
      <c r="D275" s="3" t="s">
        <v>58</v>
      </c>
      <c r="E275" s="44">
        <v>0</v>
      </c>
      <c r="F275" s="44">
        <f>IF(YEAR(Postup!$H$25)&gt;$D$232,Provozování!Y50,IF(AND(DAY(Postup!$H$25)=31,MONTH(Postup!$H$25)=12,YEAR(Postup!$H$25)=$D$232),Provozování!Y50,IF(YEAR(Postup!$H$25)=$D$232,Provozování!$BL50,0)))</f>
        <v>0</v>
      </c>
      <c r="G275" s="44">
        <v>0</v>
      </c>
      <c r="H275" s="334">
        <v>0</v>
      </c>
      <c r="K275" s="12" t="s">
        <v>53</v>
      </c>
      <c r="L275" s="13" t="s">
        <v>60</v>
      </c>
      <c r="M275" s="3" t="s">
        <v>58</v>
      </c>
      <c r="N275" s="44">
        <v>0</v>
      </c>
      <c r="O275" s="44">
        <f>IF(Provozování!$AA$16="Neaktivní",0,Provozování!AA50)</f>
        <v>0</v>
      </c>
      <c r="P275" s="44">
        <v>0</v>
      </c>
      <c r="Q275" s="334">
        <v>0</v>
      </c>
      <c r="T275" s="12" t="s">
        <v>53</v>
      </c>
      <c r="U275" s="13" t="s">
        <v>60</v>
      </c>
      <c r="V275" s="3" t="s">
        <v>58</v>
      </c>
      <c r="W275" s="462">
        <v>0</v>
      </c>
      <c r="X275" s="44">
        <f>IF(Provozování!$AA$16="Neaktivní",F275,O275)</f>
        <v>0</v>
      </c>
      <c r="Y275" s="44">
        <f>W275-X275</f>
        <v>0</v>
      </c>
      <c r="Z275" s="337">
        <v>0</v>
      </c>
      <c r="AA275" s="337">
        <v>0</v>
      </c>
      <c r="AB275" s="334">
        <v>0</v>
      </c>
      <c r="AC275" s="146"/>
      <c r="AD275" s="146"/>
      <c r="AE275" s="414" t="s">
        <v>343</v>
      </c>
      <c r="AF275" s="414"/>
      <c r="AG275" s="344">
        <f>IF(AG269&gt;0,AG269/AG266,0)</f>
        <v>0</v>
      </c>
      <c r="AH275" s="344">
        <f>IF(AH269&gt;0,AH269/AH266,0)</f>
        <v>0</v>
      </c>
      <c r="AK275" s="146"/>
      <c r="AL275" s="146"/>
      <c r="AM275" s="146"/>
      <c r="AN275" s="146"/>
    </row>
    <row r="276" spans="2:40" x14ac:dyDescent="0.25">
      <c r="B276" s="12" t="s">
        <v>56</v>
      </c>
      <c r="C276" s="13" t="s">
        <v>62</v>
      </c>
      <c r="D276" s="3" t="s">
        <v>58</v>
      </c>
      <c r="E276" s="44">
        <v>0</v>
      </c>
      <c r="F276" s="337">
        <v>0</v>
      </c>
      <c r="G276" s="44">
        <v>0</v>
      </c>
      <c r="H276" s="30">
        <f>IF(YEAR(Postup!$H$25)&gt;$D$232,Provozování!Z51,IF(AND(DAY(Postup!$H$25)=31,MONTH(Postup!$H$25)=12,YEAR(Postup!$H$25)=$D$232),Provozování!Z51,IF(YEAR(Postup!$H$25)=$D$232,Provozování!$BM51,0)))</f>
        <v>0</v>
      </c>
      <c r="K276" s="12" t="s">
        <v>56</v>
      </c>
      <c r="L276" s="13" t="s">
        <v>62</v>
      </c>
      <c r="M276" s="3" t="s">
        <v>58</v>
      </c>
      <c r="N276" s="44">
        <v>0</v>
      </c>
      <c r="O276" s="337">
        <v>0</v>
      </c>
      <c r="P276" s="44">
        <v>0</v>
      </c>
      <c r="Q276" s="53">
        <f>IF(Provozování!$AA$16="Neaktivní",0,Provozování!AB51)</f>
        <v>0</v>
      </c>
      <c r="T276" s="12" t="s">
        <v>56</v>
      </c>
      <c r="U276" s="13" t="s">
        <v>62</v>
      </c>
      <c r="V276" s="3" t="s">
        <v>58</v>
      </c>
      <c r="W276" s="337">
        <v>0</v>
      </c>
      <c r="X276" s="337">
        <v>0</v>
      </c>
      <c r="Y276" s="337">
        <v>0</v>
      </c>
      <c r="Z276" s="462">
        <v>0</v>
      </c>
      <c r="AA276" s="44">
        <f>IF(Provozování!$AA$16="Neaktivní",H276,Q276)</f>
        <v>0</v>
      </c>
      <c r="AB276" s="30">
        <f t="shared" ref="AB276:AB281" si="32">Z276-AA276</f>
        <v>0</v>
      </c>
      <c r="AC276" s="146"/>
      <c r="AD276" s="146"/>
      <c r="AE276" s="437" t="s">
        <v>323</v>
      </c>
      <c r="AF276" s="437"/>
      <c r="AG276" s="715"/>
      <c r="AH276" s="715"/>
      <c r="AK276" s="146"/>
      <c r="AL276" s="146"/>
      <c r="AM276" s="146"/>
      <c r="AN276" s="146"/>
    </row>
    <row r="277" spans="2:40" x14ac:dyDescent="0.25">
      <c r="B277" s="12" t="s">
        <v>59</v>
      </c>
      <c r="C277" s="13" t="s">
        <v>60</v>
      </c>
      <c r="D277" s="3" t="s">
        <v>58</v>
      </c>
      <c r="E277" s="44">
        <v>0</v>
      </c>
      <c r="F277" s="337">
        <v>0</v>
      </c>
      <c r="G277" s="44">
        <v>0</v>
      </c>
      <c r="H277" s="30">
        <f>IF(YEAR(Postup!$H$25)&gt;$D$232,Provozování!Z52,IF(AND(DAY(Postup!$H$25)=31,MONTH(Postup!$H$25)=12,YEAR(Postup!$H$25)=$D$232),Provozování!Z52,IF(YEAR(Postup!$H$25)=$D$232,Provozování!$BM52,0)))</f>
        <v>0</v>
      </c>
      <c r="K277" s="12" t="s">
        <v>59</v>
      </c>
      <c r="L277" s="13" t="s">
        <v>60</v>
      </c>
      <c r="M277" s="3" t="s">
        <v>58</v>
      </c>
      <c r="N277" s="44">
        <v>0</v>
      </c>
      <c r="O277" s="337">
        <v>0</v>
      </c>
      <c r="P277" s="44">
        <v>0</v>
      </c>
      <c r="Q277" s="53">
        <f>IF(Provozování!$AA$16="Neaktivní",0,Provozování!AB52)</f>
        <v>0</v>
      </c>
      <c r="T277" s="12" t="s">
        <v>59</v>
      </c>
      <c r="U277" s="13" t="s">
        <v>60</v>
      </c>
      <c r="V277" s="3" t="s">
        <v>58</v>
      </c>
      <c r="W277" s="337">
        <v>0</v>
      </c>
      <c r="X277" s="337">
        <v>0</v>
      </c>
      <c r="Y277" s="337">
        <v>0</v>
      </c>
      <c r="Z277" s="462">
        <v>0</v>
      </c>
      <c r="AA277" s="44">
        <f>IF(Provozování!$AA$16="Neaktivní",H277,Q277)</f>
        <v>0</v>
      </c>
      <c r="AB277" s="30">
        <f t="shared" si="32"/>
        <v>0</v>
      </c>
      <c r="AC277" s="146"/>
      <c r="AD277" s="146"/>
      <c r="AE277" s="438" t="s">
        <v>334</v>
      </c>
      <c r="AF277" s="438"/>
      <c r="AG277" s="712">
        <f>IF(AG275&gt;0,AG266*AI277*0.5,0)</f>
        <v>0</v>
      </c>
      <c r="AH277" s="712">
        <f>IF(AH275&gt;0,AH266*AJ277*0.5,0)</f>
        <v>0</v>
      </c>
      <c r="AI277" s="345">
        <f>IF(AG275&gt;0.05,0.05,AG275)</f>
        <v>0</v>
      </c>
      <c r="AJ277" s="345">
        <f>IF(AH275&gt;0.05,0.05,AH275)</f>
        <v>0</v>
      </c>
      <c r="AK277" s="146"/>
      <c r="AL277" s="146"/>
      <c r="AM277" s="146"/>
      <c r="AN277" s="146"/>
    </row>
    <row r="278" spans="2:40" x14ac:dyDescent="0.25">
      <c r="B278" s="12" t="s">
        <v>61</v>
      </c>
      <c r="C278" s="13" t="s">
        <v>65</v>
      </c>
      <c r="D278" s="3" t="s">
        <v>58</v>
      </c>
      <c r="E278" s="44">
        <v>0</v>
      </c>
      <c r="F278" s="337">
        <v>0</v>
      </c>
      <c r="G278" s="44">
        <v>0</v>
      </c>
      <c r="H278" s="30">
        <f>IF(YEAR(Postup!$H$25)&gt;$D$232,Provozování!Z53,IF(AND(DAY(Postup!$H$25)=31,MONTH(Postup!$H$25)=12,YEAR(Postup!$H$25)=$D$232),Provozování!Z53,IF(YEAR(Postup!$H$25)=$D$232,Provozování!$BM53,0)))</f>
        <v>0</v>
      </c>
      <c r="K278" s="12" t="s">
        <v>61</v>
      </c>
      <c r="L278" s="13" t="s">
        <v>65</v>
      </c>
      <c r="M278" s="3" t="s">
        <v>58</v>
      </c>
      <c r="N278" s="44">
        <v>0</v>
      </c>
      <c r="O278" s="337">
        <v>0</v>
      </c>
      <c r="P278" s="44">
        <v>0</v>
      </c>
      <c r="Q278" s="53">
        <f>IF(Provozování!$AA$16="Neaktivní",0,Provozování!AB53)</f>
        <v>0</v>
      </c>
      <c r="T278" s="12" t="s">
        <v>61</v>
      </c>
      <c r="U278" s="13" t="s">
        <v>65</v>
      </c>
      <c r="V278" s="3" t="s">
        <v>58</v>
      </c>
      <c r="W278" s="337">
        <v>0</v>
      </c>
      <c r="X278" s="337">
        <v>0</v>
      </c>
      <c r="Y278" s="337">
        <v>0</v>
      </c>
      <c r="Z278" s="462">
        <v>0</v>
      </c>
      <c r="AA278" s="44">
        <f>IF(Provozování!$AA$16="Neaktivní",H278,Q278)</f>
        <v>0</v>
      </c>
      <c r="AB278" s="30">
        <f t="shared" si="32"/>
        <v>0</v>
      </c>
      <c r="AC278" s="146"/>
      <c r="AD278" s="146"/>
      <c r="AE278" s="415" t="s">
        <v>335</v>
      </c>
      <c r="AF278" s="415"/>
      <c r="AG278" s="270">
        <f>IF(AI278&gt;0,AG266*(AI278-0.05)*0.8,0)</f>
        <v>0</v>
      </c>
      <c r="AH278" s="270">
        <f>IF(AJ278&gt;0,AH266*(AJ278-0.05)*0.8,0)</f>
        <v>0</v>
      </c>
      <c r="AI278" s="345">
        <f>IF(AND(AG275&gt;0.05,AG275&lt;=0.1),AG275,IF(AG275&lt;=0.05,0,0.1))</f>
        <v>0</v>
      </c>
      <c r="AJ278" s="345">
        <f>IF(AND(AH275&gt;0.05,AH275&lt;=0.1),AH275,IF(AH275&lt;=0.05,0,0.1))</f>
        <v>0</v>
      </c>
      <c r="AK278" s="146"/>
      <c r="AL278" s="146"/>
      <c r="AM278" s="146"/>
      <c r="AN278" s="146"/>
    </row>
    <row r="279" spans="2:40" x14ac:dyDescent="0.25">
      <c r="B279" s="12" t="s">
        <v>63</v>
      </c>
      <c r="C279" s="13" t="s">
        <v>67</v>
      </c>
      <c r="D279" s="3" t="s">
        <v>58</v>
      </c>
      <c r="E279" s="44">
        <v>0</v>
      </c>
      <c r="F279" s="337">
        <v>0</v>
      </c>
      <c r="G279" s="44">
        <v>0</v>
      </c>
      <c r="H279" s="30">
        <f>IF(YEAR(Postup!$H$25)&gt;$D$232,Provozování!Z54,IF(AND(DAY(Postup!$H$25)=31,MONTH(Postup!$H$25)=12,YEAR(Postup!$H$25)=$D$232),Provozování!Z54,IF(YEAR(Postup!$H$25)=$D$232,Provozování!$BM54,0)))</f>
        <v>0</v>
      </c>
      <c r="K279" s="12" t="s">
        <v>63</v>
      </c>
      <c r="L279" s="13" t="s">
        <v>67</v>
      </c>
      <c r="M279" s="3" t="s">
        <v>58</v>
      </c>
      <c r="N279" s="44">
        <v>0</v>
      </c>
      <c r="O279" s="337">
        <v>0</v>
      </c>
      <c r="P279" s="44">
        <v>0</v>
      </c>
      <c r="Q279" s="53">
        <f>IF(Provozování!$AA$16="Neaktivní",0,Provozování!AB54)</f>
        <v>0</v>
      </c>
      <c r="T279" s="12" t="s">
        <v>63</v>
      </c>
      <c r="U279" s="13" t="s">
        <v>67</v>
      </c>
      <c r="V279" s="3" t="s">
        <v>58</v>
      </c>
      <c r="W279" s="337">
        <v>0</v>
      </c>
      <c r="X279" s="337">
        <v>0</v>
      </c>
      <c r="Y279" s="337">
        <v>0</v>
      </c>
      <c r="Z279" s="462">
        <v>0</v>
      </c>
      <c r="AA279" s="44">
        <f>IF(Provozování!$AA$16="Neaktivní",H279,Q279)</f>
        <v>0</v>
      </c>
      <c r="AB279" s="30">
        <f t="shared" si="32"/>
        <v>0</v>
      </c>
      <c r="AC279" s="146"/>
      <c r="AD279" s="146"/>
      <c r="AE279" s="415" t="s">
        <v>336</v>
      </c>
      <c r="AF279" s="415"/>
      <c r="AG279" s="270">
        <f>IF(AI279&gt;0,AG266*(AI279-0.1)*1,0)</f>
        <v>0</v>
      </c>
      <c r="AH279" s="270">
        <f>IF(AJ279&gt;0,AH266*(AJ279-0.1)*1,0)</f>
        <v>0</v>
      </c>
      <c r="AI279" s="345">
        <f>IF(AG275&gt;0.1,AG275,0)</f>
        <v>0</v>
      </c>
      <c r="AJ279" s="345">
        <f>IF(AH275&gt;0.1,AH275,0)</f>
        <v>0</v>
      </c>
      <c r="AK279" s="146"/>
      <c r="AL279" s="146"/>
      <c r="AM279" s="146"/>
      <c r="AN279" s="146"/>
    </row>
    <row r="280" spans="2:40" x14ac:dyDescent="0.25">
      <c r="B280" s="12" t="s">
        <v>64</v>
      </c>
      <c r="C280" s="13" t="s">
        <v>68</v>
      </c>
      <c r="D280" s="3" t="s">
        <v>58</v>
      </c>
      <c r="E280" s="44">
        <v>0</v>
      </c>
      <c r="F280" s="44">
        <f>IF(YEAR(Postup!$H$25)&gt;$D$232,Provozování!Y55,IF(AND(DAY(Postup!$H$25)=31,MONTH(Postup!$H$25)=12,YEAR(Postup!$H$25)=$D$232),Provozování!Y55,IF(YEAR(Postup!$H$25)=$D$232,Provozování!$BL55,0)))</f>
        <v>0</v>
      </c>
      <c r="G280" s="44">
        <v>0</v>
      </c>
      <c r="H280" s="30">
        <f>IF(YEAR(Postup!$H$25)&gt;$D$232,Provozování!Z55,IF(AND(DAY(Postup!$H$25)=31,MONTH(Postup!$H$25)=12,YEAR(Postup!$H$25)=$D$232),Provozování!Z55,IF(YEAR(Postup!$H$25)=$D$232,Provozování!$BM55,0)))</f>
        <v>0</v>
      </c>
      <c r="K280" s="12" t="s">
        <v>64</v>
      </c>
      <c r="L280" s="13" t="s">
        <v>68</v>
      </c>
      <c r="M280" s="3" t="s">
        <v>58</v>
      </c>
      <c r="N280" s="44">
        <v>0</v>
      </c>
      <c r="O280" s="44">
        <f>IF(Provozování!$AA$16="Neaktivní",0,Provozování!AA55)</f>
        <v>0</v>
      </c>
      <c r="P280" s="44">
        <v>0</v>
      </c>
      <c r="Q280" s="53">
        <f>IF(Provozování!$AA$16="Neaktivní",0,Provozování!AB55)</f>
        <v>0</v>
      </c>
      <c r="T280" s="12" t="s">
        <v>64</v>
      </c>
      <c r="U280" s="13" t="s">
        <v>68</v>
      </c>
      <c r="V280" s="3" t="s">
        <v>58</v>
      </c>
      <c r="W280" s="462">
        <v>0</v>
      </c>
      <c r="X280" s="44">
        <f>IF(Provozování!$AA$16="Neaktivní",F280,O280)</f>
        <v>0</v>
      </c>
      <c r="Y280" s="44">
        <f>W280-X280</f>
        <v>0</v>
      </c>
      <c r="Z280" s="462">
        <v>0</v>
      </c>
      <c r="AA280" s="44">
        <f>IF(Provozování!$AA$16="Neaktivní",H280,Q280)</f>
        <v>0</v>
      </c>
      <c r="AB280" s="30">
        <f t="shared" si="32"/>
        <v>0</v>
      </c>
      <c r="AC280" s="146"/>
      <c r="AD280" s="146"/>
      <c r="AE280" s="413" t="s">
        <v>324</v>
      </c>
      <c r="AF280" s="413"/>
      <c r="AG280" s="346">
        <f>SUM(AG277:AG279)</f>
        <v>0</v>
      </c>
      <c r="AH280" s="346">
        <f>SUM(AH277:AH279)</f>
        <v>0</v>
      </c>
      <c r="AK280" s="146"/>
      <c r="AL280" s="146"/>
      <c r="AM280" s="146"/>
      <c r="AN280" s="146"/>
    </row>
    <row r="281" spans="2:40" x14ac:dyDescent="0.25">
      <c r="B281" s="12" t="s">
        <v>66</v>
      </c>
      <c r="C281" s="13" t="s">
        <v>69</v>
      </c>
      <c r="D281" s="3" t="s">
        <v>58</v>
      </c>
      <c r="E281" s="44">
        <v>0</v>
      </c>
      <c r="F281" s="44">
        <f>IF(YEAR(Postup!$H$25)&gt;$D$232,Provozování!Y56,IF(AND(DAY(Postup!$H$25)=31,MONTH(Postup!$H$25)=12,YEAR(Postup!$H$25)=$D$232),Provozování!Y56,IF(YEAR(Postup!$H$25)=$D$232,Provozování!$BL56,0)))</f>
        <v>0</v>
      </c>
      <c r="G281" s="44">
        <v>0</v>
      </c>
      <c r="H281" s="30">
        <f>IF(YEAR(Postup!$H$25)&gt;$D$232,Provozování!Z56,IF(AND(DAY(Postup!$H$25)=31,MONTH(Postup!$H$25)=12,YEAR(Postup!$H$25)=$D$232),Provozování!Z56,IF(YEAR(Postup!$H$25)=$D$232,Provozování!$BM56,0)))</f>
        <v>0</v>
      </c>
      <c r="K281" s="12" t="s">
        <v>66</v>
      </c>
      <c r="L281" s="13" t="s">
        <v>69</v>
      </c>
      <c r="M281" s="3" t="s">
        <v>58</v>
      </c>
      <c r="N281" s="44">
        <v>0</v>
      </c>
      <c r="O281" s="44">
        <f>IF(Provozování!$AA$16="Neaktivní",0,Provozování!AA56)</f>
        <v>0</v>
      </c>
      <c r="P281" s="44">
        <v>0</v>
      </c>
      <c r="Q281" s="30">
        <f>IF(Provozování!$AA$16="Neaktivní",0,Provozování!AB56)</f>
        <v>0</v>
      </c>
      <c r="T281" s="12" t="s">
        <v>66</v>
      </c>
      <c r="U281" s="13" t="s">
        <v>69</v>
      </c>
      <c r="V281" s="3" t="s">
        <v>58</v>
      </c>
      <c r="W281" s="462">
        <v>0</v>
      </c>
      <c r="X281" s="44">
        <f>IF(Provozování!$AA$16="Neaktivní",F281,O281)</f>
        <v>0</v>
      </c>
      <c r="Y281" s="44">
        <f>W281-X281</f>
        <v>0</v>
      </c>
      <c r="Z281" s="462">
        <v>0</v>
      </c>
      <c r="AA281" s="44">
        <f>IF(Provozování!$AA$16="Neaktivní",H281,Q281)</f>
        <v>0</v>
      </c>
      <c r="AB281" s="30">
        <f t="shared" si="32"/>
        <v>0</v>
      </c>
      <c r="AC281" s="146"/>
      <c r="AD281" s="146"/>
      <c r="AE281" s="146"/>
      <c r="AF281" s="146"/>
      <c r="AG281" s="146"/>
      <c r="AH281" s="146"/>
      <c r="AI281" s="146"/>
      <c r="AJ281" s="146"/>
      <c r="AK281" s="146"/>
      <c r="AL281" s="146"/>
      <c r="AM281" s="146"/>
      <c r="AN281" s="146"/>
    </row>
    <row r="282" spans="2:40" x14ac:dyDescent="0.25">
      <c r="B282" s="1"/>
      <c r="C282" s="1"/>
      <c r="D282" s="1"/>
      <c r="E282" s="1"/>
      <c r="F282" s="347"/>
      <c r="G282" s="1"/>
      <c r="H282" s="347"/>
      <c r="K282" s="1"/>
      <c r="L282" s="1"/>
      <c r="M282" s="1"/>
      <c r="N282" s="1"/>
      <c r="O282" s="1"/>
      <c r="P282" s="1"/>
      <c r="Q282" s="1"/>
      <c r="T282" s="1"/>
      <c r="U282" s="1"/>
      <c r="V282" s="1"/>
      <c r="W282" s="1"/>
      <c r="X282" s="1"/>
      <c r="Y282" s="1"/>
      <c r="Z282" s="1"/>
      <c r="AA282" s="1"/>
      <c r="AB282" s="1"/>
      <c r="AC282" s="146"/>
      <c r="AD282" s="146"/>
      <c r="AE282" s="146"/>
      <c r="AF282" s="146"/>
      <c r="AG282" s="146"/>
      <c r="AH282" s="146"/>
      <c r="AI282" s="146"/>
      <c r="AJ282" s="146"/>
      <c r="AK282" s="146"/>
      <c r="AL282" s="146"/>
      <c r="AM282" s="146"/>
      <c r="AN282" s="146"/>
    </row>
    <row r="283" spans="2:40" x14ac:dyDescent="0.25">
      <c r="B283" s="1052" t="s">
        <v>5</v>
      </c>
      <c r="C283" s="884" t="s">
        <v>70</v>
      </c>
      <c r="D283" s="868"/>
      <c r="E283" s="1082"/>
      <c r="F283" s="1083"/>
      <c r="G283" s="868"/>
      <c r="H283" s="869"/>
      <c r="K283" s="1052" t="s">
        <v>5</v>
      </c>
      <c r="L283" s="884" t="s">
        <v>70</v>
      </c>
      <c r="M283" s="868"/>
      <c r="N283" s="1082"/>
      <c r="O283" s="1083"/>
      <c r="P283" s="868"/>
      <c r="Q283" s="869"/>
      <c r="T283" s="1098" t="s">
        <v>5</v>
      </c>
      <c r="U283" s="884" t="s">
        <v>70</v>
      </c>
      <c r="V283" s="868"/>
      <c r="W283" s="1082"/>
      <c r="X283" s="1082"/>
      <c r="Y283" s="1083"/>
      <c r="Z283" s="868"/>
      <c r="AA283" s="868"/>
      <c r="AB283" s="869"/>
      <c r="AC283" s="146"/>
      <c r="AD283" s="146"/>
      <c r="AE283" s="146"/>
      <c r="AF283" s="146"/>
      <c r="AG283" s="146"/>
      <c r="AH283" s="146"/>
      <c r="AI283" s="146"/>
      <c r="AJ283" s="146"/>
      <c r="AK283" s="146"/>
      <c r="AL283" s="146"/>
      <c r="AM283" s="146"/>
      <c r="AN283" s="146"/>
    </row>
    <row r="284" spans="2:40" x14ac:dyDescent="0.25">
      <c r="B284" s="1053"/>
      <c r="C284" s="1052" t="s">
        <v>71</v>
      </c>
      <c r="D284" s="1065" t="s">
        <v>133</v>
      </c>
      <c r="E284" s="1085" t="s">
        <v>102</v>
      </c>
      <c r="F284" s="1086"/>
      <c r="G284" s="85" t="s">
        <v>3</v>
      </c>
      <c r="H284" s="23" t="s">
        <v>4</v>
      </c>
      <c r="K284" s="1053"/>
      <c r="L284" s="5" t="s">
        <v>71</v>
      </c>
      <c r="M284" s="1065" t="s">
        <v>133</v>
      </c>
      <c r="N284" s="1085" t="s">
        <v>102</v>
      </c>
      <c r="O284" s="1086"/>
      <c r="P284" s="85" t="s">
        <v>3</v>
      </c>
      <c r="Q284" s="23" t="s">
        <v>4</v>
      </c>
      <c r="T284" s="1099"/>
      <c r="U284" s="1052" t="s">
        <v>71</v>
      </c>
      <c r="V284" s="1065" t="s">
        <v>133</v>
      </c>
      <c r="W284" s="1085" t="s">
        <v>102</v>
      </c>
      <c r="X284" s="1086"/>
      <c r="Y284" s="1085" t="s">
        <v>3</v>
      </c>
      <c r="Z284" s="1101"/>
      <c r="AA284" s="1102" t="s">
        <v>4</v>
      </c>
      <c r="AB284" s="1102"/>
      <c r="AC284" s="146"/>
      <c r="AD284" s="146"/>
      <c r="AE284" s="146"/>
      <c r="AF284" s="146"/>
      <c r="AG284" s="146"/>
      <c r="AH284" s="146"/>
      <c r="AI284" s="146"/>
      <c r="AJ284" s="146"/>
      <c r="AK284" s="146"/>
      <c r="AL284" s="146"/>
      <c r="AM284" s="146"/>
      <c r="AN284" s="146"/>
    </row>
    <row r="285" spans="2:40" x14ac:dyDescent="0.25">
      <c r="B285" s="1054"/>
      <c r="C285" s="1054"/>
      <c r="D285" s="1084"/>
      <c r="E285" s="1087"/>
      <c r="F285" s="1088"/>
      <c r="G285" s="26" t="s">
        <v>7</v>
      </c>
      <c r="H285" s="24" t="s">
        <v>7</v>
      </c>
      <c r="K285" s="1054"/>
      <c r="L285" s="8"/>
      <c r="M285" s="1084"/>
      <c r="N285" s="1087"/>
      <c r="O285" s="1088"/>
      <c r="P285" s="26" t="s">
        <v>7</v>
      </c>
      <c r="Q285" s="24" t="s">
        <v>7</v>
      </c>
      <c r="T285" s="1100"/>
      <c r="U285" s="1054"/>
      <c r="V285" s="1084"/>
      <c r="W285" s="1087"/>
      <c r="X285" s="1088"/>
      <c r="Y285" s="37" t="s">
        <v>148</v>
      </c>
      <c r="Z285" s="37" t="s">
        <v>7</v>
      </c>
      <c r="AA285" s="37" t="s">
        <v>148</v>
      </c>
      <c r="AB285" s="37" t="s">
        <v>7</v>
      </c>
      <c r="AC285" s="146"/>
      <c r="AD285" s="146"/>
      <c r="AE285" s="146"/>
      <c r="AF285" s="146"/>
      <c r="AG285" s="146"/>
      <c r="AH285" s="146"/>
      <c r="AI285" s="146"/>
      <c r="AJ285" s="146"/>
      <c r="AK285" s="146"/>
      <c r="AL285" s="146"/>
      <c r="AM285" s="146"/>
      <c r="AN285" s="146"/>
    </row>
    <row r="286" spans="2:40" x14ac:dyDescent="0.25">
      <c r="B286" s="11">
        <v>1</v>
      </c>
      <c r="C286" s="11">
        <v>2</v>
      </c>
      <c r="D286" s="11" t="s">
        <v>95</v>
      </c>
      <c r="E286" s="873" t="s">
        <v>99</v>
      </c>
      <c r="F286" s="874"/>
      <c r="G286" s="11" t="s">
        <v>100</v>
      </c>
      <c r="H286" s="22" t="s">
        <v>101</v>
      </c>
      <c r="K286" s="11">
        <v>1</v>
      </c>
      <c r="L286" s="11">
        <v>2</v>
      </c>
      <c r="M286" s="11" t="s">
        <v>95</v>
      </c>
      <c r="N286" s="873" t="s">
        <v>99</v>
      </c>
      <c r="O286" s="874"/>
      <c r="P286" s="11" t="s">
        <v>100</v>
      </c>
      <c r="Q286" s="22" t="s">
        <v>101</v>
      </c>
      <c r="T286" s="11">
        <v>1</v>
      </c>
      <c r="U286" s="11">
        <v>2</v>
      </c>
      <c r="V286" s="11" t="s">
        <v>95</v>
      </c>
      <c r="W286" s="1096" t="s">
        <v>99</v>
      </c>
      <c r="X286" s="1097"/>
      <c r="Y286" s="11" t="s">
        <v>153</v>
      </c>
      <c r="Z286" s="11" t="s">
        <v>100</v>
      </c>
      <c r="AA286" s="11" t="s">
        <v>152</v>
      </c>
      <c r="AB286" s="22" t="s">
        <v>101</v>
      </c>
      <c r="AC286" s="146"/>
      <c r="AD286" s="146"/>
      <c r="AE286" s="146"/>
      <c r="AF286" s="146"/>
      <c r="AG286" s="146"/>
      <c r="AH286" s="146"/>
      <c r="AI286" s="146"/>
      <c r="AJ286" s="146"/>
      <c r="AK286" s="146"/>
      <c r="AL286" s="146"/>
      <c r="AM286" s="146"/>
      <c r="AN286" s="146"/>
    </row>
    <row r="287" spans="2:40" ht="14.45" customHeight="1" x14ac:dyDescent="0.25">
      <c r="B287" s="12" t="s">
        <v>72</v>
      </c>
      <c r="C287" s="13" t="s">
        <v>104</v>
      </c>
      <c r="D287" s="13" t="s">
        <v>73</v>
      </c>
      <c r="E287" s="875" t="s">
        <v>403</v>
      </c>
      <c r="F287" s="1048"/>
      <c r="G287" s="137">
        <f>IF(F274=0,IF(F280&lt;&gt;0,F270/F280,0),F270/F274)</f>
        <v>0</v>
      </c>
      <c r="H287" s="138">
        <f>IF((H276+H278)=0,IF(H281&lt;&gt;0,H270/H281,0),H270/(H276+H278))</f>
        <v>0</v>
      </c>
      <c r="K287" s="12" t="s">
        <v>72</v>
      </c>
      <c r="L287" s="13" t="s">
        <v>104</v>
      </c>
      <c r="M287" s="13" t="s">
        <v>73</v>
      </c>
      <c r="N287" s="875" t="s">
        <v>403</v>
      </c>
      <c r="O287" s="1048"/>
      <c r="P287" s="137">
        <f>IF(O274=0,IF(O280&lt;&gt;0,O270/O280,0),O270/O274)</f>
        <v>0</v>
      </c>
      <c r="Q287" s="138">
        <f>IF((Q276+Q278)=0,IF(Q281&lt;&gt;0,Q270/Q281,0),Q270/(Q276+Q278))</f>
        <v>0</v>
      </c>
      <c r="T287" s="12" t="s">
        <v>72</v>
      </c>
      <c r="U287" s="13" t="s">
        <v>104</v>
      </c>
      <c r="V287" s="13" t="s">
        <v>73</v>
      </c>
      <c r="W287" s="875" t="s">
        <v>403</v>
      </c>
      <c r="X287" s="1048"/>
      <c r="Y287" s="137">
        <f>IF(W274=0,IF(W280&lt;&gt;0,W270/W280,0),W270/W274)</f>
        <v>0</v>
      </c>
      <c r="Z287" s="137">
        <f>IF(X274=0,IF(X280&lt;&gt;0,X270/X280,0),X270/X274)</f>
        <v>0</v>
      </c>
      <c r="AA287" s="137">
        <f>IF((Z276+Z278)=0,IF(Z281&lt;&gt;0,Z270/Z281,0),Z270/(Z276+Z278))</f>
        <v>0</v>
      </c>
      <c r="AB287" s="138">
        <f>IF((AA276+AA278)=0,IF(AA281&lt;&gt;0,AA270/AA281,0),AA270/(AA276+AA278))</f>
        <v>0</v>
      </c>
      <c r="AC287" s="146"/>
      <c r="AD287" s="146"/>
      <c r="AE287" s="146"/>
      <c r="AF287" s="146"/>
      <c r="AG287" s="146"/>
      <c r="AH287" s="146"/>
      <c r="AI287" s="146"/>
      <c r="AJ287" s="146"/>
      <c r="AK287" s="146"/>
      <c r="AL287" s="146"/>
      <c r="AM287" s="146"/>
      <c r="AN287" s="146"/>
    </row>
    <row r="288" spans="2:40" x14ac:dyDescent="0.25">
      <c r="B288" s="12" t="s">
        <v>74</v>
      </c>
      <c r="C288" s="13" t="s">
        <v>358</v>
      </c>
      <c r="D288" s="13" t="s">
        <v>10</v>
      </c>
      <c r="E288" s="858" t="s">
        <v>404</v>
      </c>
      <c r="F288" s="870"/>
      <c r="G288" s="340">
        <f>G289+G290</f>
        <v>0</v>
      </c>
      <c r="H288" s="341">
        <f>H289+H290</f>
        <v>0</v>
      </c>
      <c r="K288" s="12" t="s">
        <v>74</v>
      </c>
      <c r="L288" s="13" t="s">
        <v>358</v>
      </c>
      <c r="M288" s="13" t="s">
        <v>10</v>
      </c>
      <c r="N288" s="858" t="s">
        <v>404</v>
      </c>
      <c r="O288" s="870"/>
      <c r="P288" s="340">
        <f>P289+P290</f>
        <v>0</v>
      </c>
      <c r="Q288" s="341">
        <f>Q289+Q290</f>
        <v>0</v>
      </c>
      <c r="T288" s="12" t="s">
        <v>74</v>
      </c>
      <c r="U288" s="13" t="s">
        <v>358</v>
      </c>
      <c r="V288" s="13" t="s">
        <v>10</v>
      </c>
      <c r="W288" s="858" t="s">
        <v>404</v>
      </c>
      <c r="X288" s="870"/>
      <c r="Y288" s="340">
        <f>Y289+Y290</f>
        <v>0</v>
      </c>
      <c r="Z288" s="340">
        <f>Z289+Z290</f>
        <v>0</v>
      </c>
      <c r="AA288" s="340">
        <f>AA289+AA290</f>
        <v>0</v>
      </c>
      <c r="AB288" s="341">
        <f>AB289+AB290</f>
        <v>0</v>
      </c>
      <c r="AC288" s="146"/>
      <c r="AD288" s="146"/>
      <c r="AE288" s="146"/>
      <c r="AF288" s="146"/>
      <c r="AG288" s="146"/>
      <c r="AH288" s="146"/>
      <c r="AI288" s="146"/>
      <c r="AJ288" s="146"/>
      <c r="AK288" s="146"/>
      <c r="AL288" s="146"/>
      <c r="AM288" s="146"/>
      <c r="AN288" s="146"/>
    </row>
    <row r="289" spans="2:40" x14ac:dyDescent="0.25">
      <c r="B289" s="12" t="s">
        <v>352</v>
      </c>
      <c r="C289" s="13" t="s">
        <v>359</v>
      </c>
      <c r="D289" s="13" t="s">
        <v>10</v>
      </c>
      <c r="E289" s="871"/>
      <c r="F289" s="872"/>
      <c r="G289" s="340">
        <f>IF(YEAR(Postup!$H$25)&gt;$D$232,Provozování!$Y84,IF(AND(DAY(Postup!$H$25)=31,MONTH(Postup!$H$25)=12,YEAR(Postup!$H$25)=$D$232),Provozování!$Y84,IF(YEAR(Postup!$H$25)=$D$232,Provozování!$BL84,0)))</f>
        <v>0</v>
      </c>
      <c r="H289" s="341">
        <f>IF(YEAR(Postup!$H$25)&gt;$D$232,Provozování!$Z84,IF(AND(DAY(Postup!$H$25)=31,MONTH(Postup!$H$25)=12,YEAR(Postup!$H$25)=$D$232),Provozování!$Z84,IF(YEAR(Postup!$H$25)=$D$232,Provozování!$BM84,0)))</f>
        <v>0</v>
      </c>
      <c r="K289" s="12" t="s">
        <v>352</v>
      </c>
      <c r="L289" s="13" t="s">
        <v>359</v>
      </c>
      <c r="M289" s="13" t="s">
        <v>10</v>
      </c>
      <c r="N289" s="871"/>
      <c r="O289" s="872"/>
      <c r="P289" s="340">
        <f>IF(Provozování!$AA$16="Neaktivní",0,Provozování!AA84)</f>
        <v>0</v>
      </c>
      <c r="Q289" s="341">
        <f>IF(Provozování!AA$16="Neaktivní",0,Provozování!AB84)</f>
        <v>0</v>
      </c>
      <c r="T289" s="12" t="s">
        <v>352</v>
      </c>
      <c r="U289" s="13" t="s">
        <v>359</v>
      </c>
      <c r="V289" s="13" t="s">
        <v>10</v>
      </c>
      <c r="W289" s="871"/>
      <c r="X289" s="872"/>
      <c r="Y289" s="340">
        <f>Z289</f>
        <v>0</v>
      </c>
      <c r="Z289" s="340">
        <f>IF(Provozování!$AA$16="Neaktivní",G289,P289)</f>
        <v>0</v>
      </c>
      <c r="AA289" s="340">
        <f>AB289</f>
        <v>0</v>
      </c>
      <c r="AB289" s="341">
        <f>IF(Provozování!$AA$16="Neaktivní",H289,Q289)</f>
        <v>0</v>
      </c>
      <c r="AC289" s="146"/>
      <c r="AD289" s="146"/>
      <c r="AE289" s="146"/>
      <c r="AF289" s="146"/>
      <c r="AG289" s="146"/>
      <c r="AH289" s="146"/>
      <c r="AI289" s="146"/>
      <c r="AJ289" s="146"/>
      <c r="AK289" s="146"/>
      <c r="AL289" s="146"/>
      <c r="AM289" s="146"/>
      <c r="AN289" s="146"/>
    </row>
    <row r="290" spans="2:40" x14ac:dyDescent="0.25">
      <c r="B290" s="12" t="s">
        <v>361</v>
      </c>
      <c r="C290" s="13" t="s">
        <v>360</v>
      </c>
      <c r="D290" s="13" t="s">
        <v>10</v>
      </c>
      <c r="E290" s="884"/>
      <c r="F290" s="869"/>
      <c r="G290" s="340">
        <f>IF(YEAR(Postup!$H$25)&gt;$D$232,((-1)*(Provozování!Y102)),IF(AND(DAY(Postup!$H$25)=31,MONTH(Postup!$H$25)=12,YEAR(Postup!$H$25)=$D$232),((-1)*(Provozování!Y102)),IF(YEAR(Postup!$H$25)=$D$232,((-1)*(Provozování!Y102)),0)))</f>
        <v>0</v>
      </c>
      <c r="H290" s="341">
        <f>IF(YEAR(Postup!$H$25)&gt;$D$232,((-1)*(Provozování!Z102)),IF(AND(DAY(Postup!$H$25)=31,MONTH(Postup!$H$25)=12,YEAR(Postup!$H$25)=$D$232),((-1)*(Provozování!Z102)),IF(YEAR(Postup!$H$25)=$D$232,((-1)*(Provozování!Z102)),0)))</f>
        <v>0</v>
      </c>
      <c r="K290" s="12" t="s">
        <v>361</v>
      </c>
      <c r="L290" s="13" t="s">
        <v>360</v>
      </c>
      <c r="M290" s="13" t="s">
        <v>10</v>
      </c>
      <c r="N290" s="884"/>
      <c r="O290" s="869"/>
      <c r="P290" s="340">
        <f>IF(Provozování!$AA$16="Neaktivní",0,((-1)*(Provozování!Y102)))</f>
        <v>0</v>
      </c>
      <c r="Q290" s="341">
        <f>IF(Provozování!$AA$16="Neaktivní",0,((-1)*(Provozování!Z102)))</f>
        <v>0</v>
      </c>
      <c r="T290" s="12" t="s">
        <v>361</v>
      </c>
      <c r="U290" s="13" t="s">
        <v>360</v>
      </c>
      <c r="V290" s="13" t="s">
        <v>10</v>
      </c>
      <c r="W290" s="884"/>
      <c r="X290" s="869"/>
      <c r="Y290" s="340">
        <f>Z290</f>
        <v>0</v>
      </c>
      <c r="Z290" s="340">
        <f>IF(Provozování!$AA$16="Neaktivní",G290,P290)</f>
        <v>0</v>
      </c>
      <c r="AA290" s="340">
        <f>AB290</f>
        <v>0</v>
      </c>
      <c r="AB290" s="341">
        <f>IF(Provozování!$AA$16="Neaktivní",H290,Q290)</f>
        <v>0</v>
      </c>
      <c r="AC290" s="146"/>
      <c r="AD290" s="146"/>
      <c r="AE290" s="146"/>
      <c r="AF290" s="146"/>
      <c r="AG290" s="146"/>
      <c r="AH290" s="146"/>
      <c r="AI290" s="146"/>
      <c r="AJ290" s="146"/>
      <c r="AK290" s="146"/>
      <c r="AL290" s="146"/>
      <c r="AM290" s="146"/>
      <c r="AN290" s="146"/>
    </row>
    <row r="291" spans="2:40" x14ac:dyDescent="0.25">
      <c r="B291" s="12" t="s">
        <v>75</v>
      </c>
      <c r="C291" s="13" t="s">
        <v>396</v>
      </c>
      <c r="D291" s="13" t="s">
        <v>10</v>
      </c>
      <c r="E291" s="858" t="s">
        <v>405</v>
      </c>
      <c r="F291" s="870"/>
      <c r="G291" s="340">
        <f>F270+G288</f>
        <v>0</v>
      </c>
      <c r="H291" s="341">
        <f>H270+H288</f>
        <v>0</v>
      </c>
      <c r="K291" s="12" t="s">
        <v>75</v>
      </c>
      <c r="L291" s="13" t="s">
        <v>396</v>
      </c>
      <c r="M291" s="13" t="s">
        <v>10</v>
      </c>
      <c r="N291" s="858" t="s">
        <v>405</v>
      </c>
      <c r="O291" s="870"/>
      <c r="P291" s="340">
        <f>O270+P288</f>
        <v>0</v>
      </c>
      <c r="Q291" s="341">
        <f>Q270+Q288</f>
        <v>0</v>
      </c>
      <c r="T291" s="12" t="s">
        <v>75</v>
      </c>
      <c r="U291" s="13" t="s">
        <v>396</v>
      </c>
      <c r="V291" s="13" t="s">
        <v>10</v>
      </c>
      <c r="W291" s="858" t="s">
        <v>405</v>
      </c>
      <c r="X291" s="870"/>
      <c r="Y291" s="14">
        <f>W270+Y288</f>
        <v>0</v>
      </c>
      <c r="Z291" s="14">
        <f>X270+Z288</f>
        <v>0</v>
      </c>
      <c r="AA291" s="14">
        <f>Z270+AA288</f>
        <v>0</v>
      </c>
      <c r="AB291" s="15">
        <f>AA270+AB288</f>
        <v>0</v>
      </c>
      <c r="AC291" s="146"/>
      <c r="AD291" s="146"/>
      <c r="AE291" s="146"/>
      <c r="AF291" s="146"/>
      <c r="AG291" s="146"/>
      <c r="AH291" s="146"/>
      <c r="AI291" s="146"/>
      <c r="AJ291" s="146"/>
      <c r="AK291" s="146"/>
      <c r="AL291" s="146"/>
      <c r="AM291" s="146"/>
      <c r="AN291" s="146"/>
    </row>
    <row r="292" spans="2:40" x14ac:dyDescent="0.25">
      <c r="B292" s="12" t="s">
        <v>76</v>
      </c>
      <c r="C292" s="13" t="s">
        <v>373</v>
      </c>
      <c r="D292" s="13" t="s">
        <v>10</v>
      </c>
      <c r="E292" s="858"/>
      <c r="F292" s="859"/>
      <c r="G292" s="340">
        <f>IF(YEAR(Postup!$H$25)&gt;$D$232,Provozování!Y$87,IF(AND(DAY(Postup!$H$25)=31,MONTH(Postup!$H$25)=12,YEAR(Postup!$H$25)=$D$232),Provozování!Y$87,IF(YEAR(Postup!$H$25)=$D$232,Provozování!$BL87,0)))</f>
        <v>0</v>
      </c>
      <c r="H292" s="341">
        <f>IF(YEAR(Postup!$H$25)&gt;$D$232,Provozování!Z$87,IF(AND(DAY(Postup!$H$25)=31,MONTH(Postup!$H$25)=12,YEAR(Postup!$H$25)=$D$232),Provozování!Z$87,IF(YEAR(Postup!$H$25)=$D$232,Provozování!$BM87,0)))</f>
        <v>0</v>
      </c>
      <c r="K292" s="12" t="s">
        <v>76</v>
      </c>
      <c r="L292" s="13" t="s">
        <v>373</v>
      </c>
      <c r="M292" s="13" t="s">
        <v>10</v>
      </c>
      <c r="N292" s="858"/>
      <c r="O292" s="859"/>
      <c r="P292" s="340">
        <f>IF(Provozování!$AA$16="Neaktivní",0,Provozování!AA87)</f>
        <v>0</v>
      </c>
      <c r="Q292" s="341">
        <f>IF(Provozování!AA$16="Neaktivní",0,Provozování!AB87)</f>
        <v>0</v>
      </c>
      <c r="T292" s="12" t="s">
        <v>76</v>
      </c>
      <c r="U292" s="13" t="s">
        <v>373</v>
      </c>
      <c r="V292" s="13" t="s">
        <v>10</v>
      </c>
      <c r="W292" s="858"/>
      <c r="X292" s="859"/>
      <c r="Y292" s="462">
        <f>IF(Provozování!AA16="Aktivní",Provozování!AA87,Provozování!Y87)</f>
        <v>2.3999896640999999E-2</v>
      </c>
      <c r="Z292" s="14">
        <f>IF(Provozování!$AA$16="Neaktivní",G292,P292)</f>
        <v>0</v>
      </c>
      <c r="AA292" s="462">
        <f>IF(Provozování!AA16="Aktivní",Provozování!AB87,Provozování!Z87)</f>
        <v>0.100000278</v>
      </c>
      <c r="AB292" s="15">
        <f>IF(Provozování!$AA$16="Neaktivní",H292,Q292)</f>
        <v>0</v>
      </c>
      <c r="AC292" s="146"/>
      <c r="AD292" s="146"/>
      <c r="AE292" s="146"/>
      <c r="AF292" s="146"/>
      <c r="AG292" s="146"/>
      <c r="AH292" s="146"/>
      <c r="AI292" s="146"/>
      <c r="AJ292" s="146"/>
      <c r="AK292" s="146"/>
      <c r="AL292" s="146"/>
      <c r="AM292" s="146"/>
      <c r="AN292" s="146"/>
    </row>
    <row r="293" spans="2:40" ht="14.45" customHeight="1" x14ac:dyDescent="0.25">
      <c r="B293" s="12" t="s">
        <v>78</v>
      </c>
      <c r="C293" s="21" t="s">
        <v>402</v>
      </c>
      <c r="D293" s="13" t="s">
        <v>77</v>
      </c>
      <c r="E293" s="875" t="s">
        <v>406</v>
      </c>
      <c r="F293" s="1048"/>
      <c r="G293" s="137">
        <f>IF(G291=0,0,G292/G291*100)</f>
        <v>0</v>
      </c>
      <c r="H293" s="138">
        <f>IF(H291=0,0,H292/H291*100)</f>
        <v>0</v>
      </c>
      <c r="K293" s="12" t="s">
        <v>78</v>
      </c>
      <c r="L293" s="21" t="s">
        <v>402</v>
      </c>
      <c r="M293" s="13" t="s">
        <v>77</v>
      </c>
      <c r="N293" s="875" t="s">
        <v>406</v>
      </c>
      <c r="O293" s="1048"/>
      <c r="P293" s="137">
        <f>IF(P291=0,0,P292/P291*100)</f>
        <v>0</v>
      </c>
      <c r="Q293" s="138">
        <f>IF(Q291=0,0,Q292/Q291*100)</f>
        <v>0</v>
      </c>
      <c r="T293" s="12" t="s">
        <v>78</v>
      </c>
      <c r="U293" s="21" t="s">
        <v>402</v>
      </c>
      <c r="V293" s="13" t="s">
        <v>77</v>
      </c>
      <c r="W293" s="875" t="s">
        <v>406</v>
      </c>
      <c r="X293" s="1048"/>
      <c r="Y293" s="137">
        <f>IF(Y291=0,0,Y292/Y291*100)</f>
        <v>0</v>
      </c>
      <c r="Z293" s="137">
        <f>IF(Z291=0,0,Z292/Z291*100)</f>
        <v>0</v>
      </c>
      <c r="AA293" s="137">
        <f>IF(AA291=0,0,AA292/AA291*100)</f>
        <v>0</v>
      </c>
      <c r="AB293" s="138">
        <f>IF(AB291=0,0,AB292/AB291*100)</f>
        <v>0</v>
      </c>
      <c r="AC293" s="146"/>
      <c r="AD293" s="146"/>
      <c r="AE293" s="146"/>
      <c r="AF293" s="146"/>
      <c r="AG293" s="146"/>
      <c r="AH293" s="146"/>
      <c r="AI293" s="146"/>
      <c r="AJ293" s="146"/>
      <c r="AK293" s="146"/>
      <c r="AL293" s="146"/>
      <c r="AM293" s="146"/>
      <c r="AN293" s="146"/>
    </row>
    <row r="294" spans="2:40" x14ac:dyDescent="0.25">
      <c r="B294" s="12" t="s">
        <v>79</v>
      </c>
      <c r="C294" s="21" t="s">
        <v>408</v>
      </c>
      <c r="D294" s="13" t="s">
        <v>10</v>
      </c>
      <c r="E294" s="858" t="s">
        <v>407</v>
      </c>
      <c r="F294" s="870"/>
      <c r="G294" s="310">
        <v>0</v>
      </c>
      <c r="H294" s="111">
        <v>0</v>
      </c>
      <c r="K294" s="12" t="s">
        <v>79</v>
      </c>
      <c r="L294" s="21" t="s">
        <v>408</v>
      </c>
      <c r="M294" s="13" t="s">
        <v>10</v>
      </c>
      <c r="N294" s="858" t="s">
        <v>407</v>
      </c>
      <c r="O294" s="870"/>
      <c r="P294" s="310">
        <v>0</v>
      </c>
      <c r="Q294" s="111">
        <v>0</v>
      </c>
      <c r="T294" s="12" t="s">
        <v>79</v>
      </c>
      <c r="U294" s="21" t="s">
        <v>408</v>
      </c>
      <c r="V294" s="13" t="s">
        <v>10</v>
      </c>
      <c r="W294" s="858" t="s">
        <v>407</v>
      </c>
      <c r="X294" s="870"/>
      <c r="Y294" s="337">
        <v>0</v>
      </c>
      <c r="Z294" s="337">
        <v>0</v>
      </c>
      <c r="AA294" s="337">
        <v>0</v>
      </c>
      <c r="AB294" s="334">
        <v>0</v>
      </c>
      <c r="AC294" s="146"/>
      <c r="AD294" s="146"/>
      <c r="AE294" s="146"/>
      <c r="AF294" s="146"/>
      <c r="AG294" s="146"/>
      <c r="AH294" s="146"/>
      <c r="AI294" s="146"/>
      <c r="AJ294" s="146"/>
      <c r="AK294" s="146"/>
      <c r="AL294" s="146"/>
      <c r="AM294" s="146"/>
      <c r="AN294" s="146"/>
    </row>
    <row r="295" spans="2:40" x14ac:dyDescent="0.25">
      <c r="B295" s="12" t="s">
        <v>80</v>
      </c>
      <c r="C295" s="497" t="s">
        <v>354</v>
      </c>
      <c r="D295" s="13"/>
      <c r="E295" s="858" t="s">
        <v>409</v>
      </c>
      <c r="F295" s="870"/>
      <c r="G295" s="310">
        <f>G292-G294</f>
        <v>0</v>
      </c>
      <c r="H295" s="111">
        <f>H292-H294</f>
        <v>0</v>
      </c>
      <c r="K295" s="12" t="s">
        <v>80</v>
      </c>
      <c r="L295" s="497" t="s">
        <v>354</v>
      </c>
      <c r="M295" s="13"/>
      <c r="N295" s="858" t="s">
        <v>409</v>
      </c>
      <c r="O295" s="870"/>
      <c r="P295" s="310">
        <f>P292-P294</f>
        <v>0</v>
      </c>
      <c r="Q295" s="111">
        <f>Q292-Q294</f>
        <v>0</v>
      </c>
      <c r="T295" s="12" t="s">
        <v>80</v>
      </c>
      <c r="U295" s="497" t="s">
        <v>354</v>
      </c>
      <c r="V295" s="13"/>
      <c r="W295" s="858" t="s">
        <v>409</v>
      </c>
      <c r="X295" s="870"/>
      <c r="Y295" s="337">
        <f>Y292-Y294</f>
        <v>2.3999896640999999E-2</v>
      </c>
      <c r="Z295" s="337">
        <f>Z292-Z294</f>
        <v>0</v>
      </c>
      <c r="AA295" s="337">
        <f>AA292-AA294</f>
        <v>0.100000278</v>
      </c>
      <c r="AB295" s="334">
        <f>AB292-AB294</f>
        <v>0</v>
      </c>
      <c r="AC295" s="146"/>
      <c r="AD295" s="146"/>
      <c r="AE295" s="146"/>
      <c r="AF295" s="146"/>
      <c r="AG295" s="146"/>
      <c r="AH295" s="146"/>
      <c r="AI295" s="146"/>
      <c r="AJ295" s="146"/>
      <c r="AK295" s="146"/>
      <c r="AL295" s="146"/>
      <c r="AM295" s="146"/>
      <c r="AN295" s="146"/>
    </row>
    <row r="296" spans="2:40" x14ac:dyDescent="0.25">
      <c r="B296" s="12" t="s">
        <v>82</v>
      </c>
      <c r="C296" s="13" t="s">
        <v>395</v>
      </c>
      <c r="D296" s="13" t="s">
        <v>10</v>
      </c>
      <c r="E296" s="858" t="s">
        <v>410</v>
      </c>
      <c r="F296" s="870"/>
      <c r="G296" s="340">
        <f>G291+G292</f>
        <v>0</v>
      </c>
      <c r="H296" s="341">
        <f>H291+H292</f>
        <v>0</v>
      </c>
      <c r="K296" s="12" t="s">
        <v>82</v>
      </c>
      <c r="L296" s="13" t="s">
        <v>395</v>
      </c>
      <c r="M296" s="13" t="s">
        <v>10</v>
      </c>
      <c r="N296" s="858" t="s">
        <v>410</v>
      </c>
      <c r="O296" s="870"/>
      <c r="P296" s="340">
        <f>P291+P292</f>
        <v>0</v>
      </c>
      <c r="Q296" s="341">
        <f>Q291+Q292</f>
        <v>0</v>
      </c>
      <c r="T296" s="12" t="s">
        <v>82</v>
      </c>
      <c r="U296" s="13" t="s">
        <v>395</v>
      </c>
      <c r="V296" s="13" t="s">
        <v>10</v>
      </c>
      <c r="W296" s="858" t="s">
        <v>410</v>
      </c>
      <c r="X296" s="870"/>
      <c r="Y296" s="340">
        <f>Y291+Y292</f>
        <v>2.3999896640999999E-2</v>
      </c>
      <c r="Z296" s="340">
        <f>Z291+Z292</f>
        <v>0</v>
      </c>
      <c r="AA296" s="340">
        <f>AA291+AA292</f>
        <v>0.100000278</v>
      </c>
      <c r="AB296" s="341">
        <f>AB291+AB292</f>
        <v>0</v>
      </c>
      <c r="AC296" s="146"/>
      <c r="AD296" s="146"/>
      <c r="AE296" s="146"/>
      <c r="AF296" s="146"/>
      <c r="AG296" s="146"/>
      <c r="AH296" s="146"/>
      <c r="AI296" s="146"/>
      <c r="AJ296" s="146"/>
      <c r="AK296" s="146"/>
      <c r="AL296" s="146"/>
      <c r="AM296" s="146"/>
      <c r="AN296" s="146"/>
    </row>
    <row r="297" spans="2:40" x14ac:dyDescent="0.25">
      <c r="B297" s="12" t="s">
        <v>83</v>
      </c>
      <c r="C297" s="13" t="s">
        <v>81</v>
      </c>
      <c r="D297" s="13" t="s">
        <v>58</v>
      </c>
      <c r="E297" s="858" t="s">
        <v>411</v>
      </c>
      <c r="F297" s="870"/>
      <c r="G297" s="340">
        <f>IF(F274=0,F280,F274)</f>
        <v>0</v>
      </c>
      <c r="H297" s="341">
        <f>IF(H276+H278=0,H281,H276+H278)</f>
        <v>0</v>
      </c>
      <c r="K297" s="12" t="s">
        <v>83</v>
      </c>
      <c r="L297" s="13" t="s">
        <v>81</v>
      </c>
      <c r="M297" s="13" t="s">
        <v>58</v>
      </c>
      <c r="N297" s="858" t="s">
        <v>411</v>
      </c>
      <c r="O297" s="870"/>
      <c r="P297" s="340">
        <f>IF(O274=0,O280,O274)</f>
        <v>0</v>
      </c>
      <c r="Q297" s="341">
        <f>IF(Q276+Q278=0,Q281,Q276+Q278)</f>
        <v>0</v>
      </c>
      <c r="T297" s="12" t="s">
        <v>83</v>
      </c>
      <c r="U297" s="13" t="s">
        <v>81</v>
      </c>
      <c r="V297" s="13" t="s">
        <v>58</v>
      </c>
      <c r="W297" s="858" t="s">
        <v>411</v>
      </c>
      <c r="X297" s="870"/>
      <c r="Y297" s="14">
        <f>IF(W274=0,W280,W274)</f>
        <v>0</v>
      </c>
      <c r="Z297" s="14">
        <f>IF(X274=0,X280,X274)</f>
        <v>0</v>
      </c>
      <c r="AA297" s="14">
        <f>IF(Z276+Z278=0,Z281,Z276+Z278)</f>
        <v>0</v>
      </c>
      <c r="AB297" s="15">
        <f>IF(AA276+AA278=0,AA281,AA276+AA278)</f>
        <v>0</v>
      </c>
      <c r="AC297" s="146"/>
      <c r="AD297" s="146"/>
      <c r="AE297" s="146"/>
      <c r="AF297" s="146"/>
      <c r="AG297" s="146"/>
      <c r="AH297" s="146"/>
      <c r="AI297" s="146"/>
      <c r="AJ297" s="146"/>
      <c r="AK297" s="146"/>
      <c r="AL297" s="146"/>
      <c r="AM297" s="146"/>
      <c r="AN297" s="146"/>
    </row>
    <row r="298" spans="2:40" x14ac:dyDescent="0.25">
      <c r="B298" s="12" t="s">
        <v>155</v>
      </c>
      <c r="C298" s="13" t="s">
        <v>393</v>
      </c>
      <c r="D298" s="13" t="s">
        <v>73</v>
      </c>
      <c r="E298" s="858" t="s">
        <v>412</v>
      </c>
      <c r="F298" s="870"/>
      <c r="G298" s="137">
        <f>IF(G297=0,0,G296/G297)</f>
        <v>0</v>
      </c>
      <c r="H298" s="138">
        <f>IF(H297=0,0,H296/H297)</f>
        <v>0</v>
      </c>
      <c r="K298" s="12" t="s">
        <v>155</v>
      </c>
      <c r="L298" s="13" t="s">
        <v>393</v>
      </c>
      <c r="M298" s="13" t="s">
        <v>73</v>
      </c>
      <c r="N298" s="858" t="s">
        <v>412</v>
      </c>
      <c r="O298" s="870"/>
      <c r="P298" s="137">
        <f>IF(P297=0,0,P296/P297)</f>
        <v>0</v>
      </c>
      <c r="Q298" s="138">
        <f>IF(Q297=0,0,Q296/Q297)</f>
        <v>0</v>
      </c>
      <c r="T298" s="12" t="s">
        <v>155</v>
      </c>
      <c r="U298" s="13" t="s">
        <v>393</v>
      </c>
      <c r="V298" s="13" t="s">
        <v>73</v>
      </c>
      <c r="W298" s="858" t="s">
        <v>412</v>
      </c>
      <c r="X298" s="870"/>
      <c r="Y298" s="137">
        <f>IF(Y297=0,0,Y296/Y297)</f>
        <v>0</v>
      </c>
      <c r="Z298" s="137">
        <f>IF(Z297=0,0,Z296/Z297)</f>
        <v>0</v>
      </c>
      <c r="AA298" s="137">
        <f>IF(AA297=0,0,AA296/AA297)</f>
        <v>0</v>
      </c>
      <c r="AB298" s="138">
        <f>IF(AB297=0,0,AB296/AB297)</f>
        <v>0</v>
      </c>
      <c r="AC298" s="146"/>
      <c r="AD298" s="146"/>
      <c r="AE298" s="146"/>
      <c r="AF298" s="146"/>
      <c r="AG298" s="146"/>
      <c r="AH298" s="146"/>
      <c r="AI298" s="146"/>
      <c r="AJ298" s="146"/>
      <c r="AK298" s="146"/>
      <c r="AL298" s="146"/>
      <c r="AM298" s="146"/>
      <c r="AN298" s="146"/>
    </row>
    <row r="299" spans="2:40" x14ac:dyDescent="0.25">
      <c r="B299" s="210" t="s">
        <v>355</v>
      </c>
      <c r="C299" s="244" t="str">
        <f>CONCATENATE("UPLATŇOVANÁ CENA pro vodné, stočné +",Provozování!Y97*100,"% DPH")</f>
        <v>UPLATŇOVANÁ CENA pro vodné, stočné +10% DPH</v>
      </c>
      <c r="D299" s="244" t="s">
        <v>73</v>
      </c>
      <c r="E299" s="858" t="s">
        <v>413</v>
      </c>
      <c r="F299" s="870"/>
      <c r="G299" s="138">
        <f>G298*(1+Provozování!Y$97)</f>
        <v>0</v>
      </c>
      <c r="H299" s="138">
        <f>H298*(1+Provozování!Z$97)</f>
        <v>0</v>
      </c>
      <c r="K299" s="210" t="s">
        <v>355</v>
      </c>
      <c r="L299" s="244" t="str">
        <f>C299</f>
        <v>UPLATŇOVANÁ CENA pro vodné, stočné +10% DPH</v>
      </c>
      <c r="M299" s="244" t="s">
        <v>73</v>
      </c>
      <c r="N299" s="858" t="s">
        <v>413</v>
      </c>
      <c r="O299" s="870"/>
      <c r="P299" s="138">
        <f>P298*(1+Provozování!Y$97)</f>
        <v>0</v>
      </c>
      <c r="Q299" s="138">
        <f>Q298*(1+Provozování!Z$97)</f>
        <v>0</v>
      </c>
      <c r="T299" s="12" t="s">
        <v>355</v>
      </c>
      <c r="U299" s="13" t="str">
        <f>C299</f>
        <v>UPLATŇOVANÁ CENA pro vodné, stočné +10% DPH</v>
      </c>
      <c r="V299" s="13" t="s">
        <v>73</v>
      </c>
      <c r="W299" s="858" t="s">
        <v>413</v>
      </c>
      <c r="X299" s="870"/>
      <c r="Y299" s="137">
        <f>Y298*(1+Provozování!Y$97)</f>
        <v>0</v>
      </c>
      <c r="Z299" s="137">
        <f>Z298*(1+Provozování!Z$97)</f>
        <v>0</v>
      </c>
      <c r="AA299" s="137">
        <f>AA298*(1+Provozování!Y$97)</f>
        <v>0</v>
      </c>
      <c r="AB299" s="138">
        <f>AB298*(1+Provozování!Z$97)</f>
        <v>0</v>
      </c>
      <c r="AC299" s="146"/>
      <c r="AD299" s="146"/>
      <c r="AE299" s="146"/>
      <c r="AF299" s="146"/>
      <c r="AG299" s="146"/>
      <c r="AH299" s="146"/>
      <c r="AI299" s="146"/>
      <c r="AJ299" s="146"/>
      <c r="AK299" s="146"/>
      <c r="AL299" s="146"/>
      <c r="AM299" s="146"/>
      <c r="AN299" s="146"/>
    </row>
    <row r="300" spans="2:40" x14ac:dyDescent="0.25">
      <c r="B300" s="210" t="s">
        <v>356</v>
      </c>
      <c r="C300" s="244" t="s">
        <v>357</v>
      </c>
      <c r="D300" s="244" t="s">
        <v>73</v>
      </c>
      <c r="E300" s="884" t="s">
        <v>414</v>
      </c>
      <c r="F300" s="869"/>
      <c r="G300" s="138">
        <v>0</v>
      </c>
      <c r="H300" s="138">
        <v>0</v>
      </c>
      <c r="K300" s="210" t="s">
        <v>356</v>
      </c>
      <c r="L300" s="244" t="s">
        <v>357</v>
      </c>
      <c r="M300" s="244" t="s">
        <v>73</v>
      </c>
      <c r="N300" s="884" t="s">
        <v>414</v>
      </c>
      <c r="O300" s="869"/>
      <c r="P300" s="138">
        <v>0</v>
      </c>
      <c r="Q300" s="138">
        <v>0</v>
      </c>
      <c r="T300" s="528" t="s">
        <v>356</v>
      </c>
      <c r="U300" s="2" t="s">
        <v>357</v>
      </c>
      <c r="V300" s="2" t="s">
        <v>73</v>
      </c>
      <c r="W300" s="884" t="s">
        <v>414</v>
      </c>
      <c r="X300" s="869"/>
      <c r="Y300" s="529">
        <v>0</v>
      </c>
      <c r="Z300" s="529">
        <v>0</v>
      </c>
      <c r="AA300" s="529">
        <v>0</v>
      </c>
      <c r="AB300" s="530">
        <v>0</v>
      </c>
      <c r="AC300" s="146"/>
      <c r="AD300" s="146"/>
      <c r="AE300" s="146"/>
      <c r="AF300" s="146"/>
      <c r="AG300" s="146"/>
      <c r="AH300" s="146"/>
      <c r="AI300" s="146"/>
      <c r="AJ300" s="146"/>
      <c r="AK300" s="146"/>
      <c r="AL300" s="146"/>
      <c r="AM300" s="146"/>
      <c r="AN300" s="146"/>
    </row>
    <row r="301" spans="2:40" ht="19.5" x14ac:dyDescent="0.25">
      <c r="T301" s="1089" t="s">
        <v>155</v>
      </c>
      <c r="U301" s="1089" t="s">
        <v>154</v>
      </c>
      <c r="V301" s="882" t="s">
        <v>10</v>
      </c>
      <c r="W301" s="854" t="s">
        <v>156</v>
      </c>
      <c r="X301" s="858"/>
      <c r="Y301" s="89" t="s">
        <v>158</v>
      </c>
      <c r="Z301" s="92" t="s">
        <v>159</v>
      </c>
      <c r="AA301" s="89" t="s">
        <v>158</v>
      </c>
      <c r="AB301" s="92" t="s">
        <v>159</v>
      </c>
      <c r="AC301" s="146"/>
      <c r="AD301" s="146"/>
      <c r="AE301" s="146"/>
      <c r="AF301" s="146"/>
      <c r="AG301" s="146"/>
      <c r="AH301" s="146"/>
      <c r="AI301" s="146"/>
      <c r="AJ301" s="146"/>
      <c r="AK301" s="146"/>
      <c r="AL301" s="146"/>
      <c r="AM301" s="146"/>
      <c r="AN301" s="146"/>
    </row>
    <row r="302" spans="2:40" x14ac:dyDescent="0.25">
      <c r="B302" s="383" t="s">
        <v>283</v>
      </c>
      <c r="T302" s="1090"/>
      <c r="U302" s="1090"/>
      <c r="V302" s="1092"/>
      <c r="W302" s="1093">
        <v>0</v>
      </c>
      <c r="X302" s="1094"/>
      <c r="Y302" s="90">
        <f>W232</f>
        <v>2027</v>
      </c>
      <c r="Z302" s="90">
        <f>W232</f>
        <v>2027</v>
      </c>
      <c r="AA302" s="90">
        <f>W232</f>
        <v>2027</v>
      </c>
      <c r="AB302" s="90">
        <f>W232</f>
        <v>2027</v>
      </c>
      <c r="AC302" s="146"/>
      <c r="AD302" s="146"/>
      <c r="AE302" s="146"/>
      <c r="AF302" s="146"/>
      <c r="AG302" s="146"/>
      <c r="AH302" s="146"/>
      <c r="AI302" s="146"/>
      <c r="AJ302" s="146"/>
      <c r="AK302" s="146"/>
      <c r="AL302" s="146"/>
      <c r="AM302" s="146"/>
      <c r="AN302" s="146"/>
    </row>
    <row r="303" spans="2:40" x14ac:dyDescent="0.25">
      <c r="B303" s="383" t="s">
        <v>284</v>
      </c>
      <c r="T303" s="1090"/>
      <c r="U303" s="1090"/>
      <c r="V303" s="1092"/>
      <c r="W303" s="854" t="s">
        <v>157</v>
      </c>
      <c r="X303" s="858"/>
      <c r="Y303" s="91" t="s">
        <v>160</v>
      </c>
      <c r="Z303" s="91" t="s">
        <v>160</v>
      </c>
      <c r="AA303" s="91" t="s">
        <v>161</v>
      </c>
      <c r="AB303" s="91" t="s">
        <v>161</v>
      </c>
      <c r="AC303" s="146"/>
      <c r="AD303" s="146"/>
      <c r="AE303" s="146"/>
      <c r="AF303" s="146"/>
      <c r="AG303" s="146"/>
      <c r="AH303" s="146"/>
      <c r="AI303" s="146"/>
      <c r="AJ303" s="146"/>
      <c r="AK303" s="146"/>
      <c r="AL303" s="146"/>
      <c r="AM303" s="146"/>
      <c r="AN303" s="146"/>
    </row>
    <row r="304" spans="2:40" x14ac:dyDescent="0.25">
      <c r="T304" s="1091"/>
      <c r="U304" s="1091"/>
      <c r="V304" s="883"/>
      <c r="W304" s="1095">
        <v>0</v>
      </c>
      <c r="X304" s="1093"/>
      <c r="Y304" s="464">
        <v>0</v>
      </c>
      <c r="Z304" s="464">
        <v>0</v>
      </c>
      <c r="AA304" s="464">
        <v>0</v>
      </c>
      <c r="AB304" s="464">
        <v>0</v>
      </c>
      <c r="AC304" s="146"/>
      <c r="AD304" s="146"/>
      <c r="AE304" s="146"/>
      <c r="AF304" s="146"/>
      <c r="AG304" s="146"/>
      <c r="AH304" s="146"/>
      <c r="AI304" s="146"/>
      <c r="AJ304" s="146"/>
      <c r="AK304" s="146"/>
      <c r="AL304" s="146"/>
      <c r="AM304" s="146"/>
      <c r="AN304" s="146"/>
    </row>
    <row r="305" spans="1:40" x14ac:dyDescent="0.25">
      <c r="A305" s="252"/>
      <c r="B305" s="29"/>
      <c r="C305" s="29"/>
      <c r="D305" s="29"/>
      <c r="E305" s="29"/>
      <c r="F305" s="29"/>
      <c r="G305" s="29"/>
      <c r="H305" s="29"/>
      <c r="I305" s="29"/>
      <c r="J305" s="29"/>
      <c r="K305" s="29"/>
      <c r="L305" s="29"/>
      <c r="M305" s="29"/>
      <c r="N305" s="29"/>
      <c r="O305" s="29"/>
      <c r="P305" s="29"/>
      <c r="Q305" s="29"/>
      <c r="R305" s="29"/>
      <c r="AC305" s="146"/>
      <c r="AD305" s="146"/>
      <c r="AE305" s="146"/>
      <c r="AF305" s="146"/>
      <c r="AG305" s="338"/>
      <c r="AH305" s="338"/>
    </row>
    <row r="306" spans="1:40" x14ac:dyDescent="0.25">
      <c r="B306" s="899" t="s">
        <v>316</v>
      </c>
      <c r="C306" s="900"/>
      <c r="D306" s="900"/>
      <c r="E306" s="900"/>
      <c r="F306" s="900"/>
      <c r="G306" s="900"/>
      <c r="H306" s="900"/>
      <c r="K306" s="899" t="s">
        <v>317</v>
      </c>
      <c r="L306" s="900"/>
      <c r="M306" s="900"/>
      <c r="N306" s="900"/>
      <c r="O306" s="900"/>
      <c r="P306" s="900"/>
      <c r="Q306" s="900"/>
      <c r="T306" s="899" t="s">
        <v>162</v>
      </c>
      <c r="U306" s="900"/>
      <c r="V306" s="900"/>
      <c r="W306" s="900"/>
      <c r="X306" s="900"/>
      <c r="Y306" s="900"/>
      <c r="Z306" s="900"/>
      <c r="AA306" s="900"/>
      <c r="AB306" s="900"/>
      <c r="AC306" s="146"/>
      <c r="AD306" s="146"/>
      <c r="AK306" s="146"/>
      <c r="AL306" s="146"/>
      <c r="AM306" s="146"/>
      <c r="AN306" s="146"/>
    </row>
    <row r="307" spans="1:40" x14ac:dyDescent="0.25">
      <c r="C307" s="272"/>
      <c r="E307" s="25"/>
      <c r="F307" s="25"/>
      <c r="L307" s="25"/>
      <c r="N307" s="25"/>
      <c r="T307" s="1079" t="s">
        <v>318</v>
      </c>
      <c r="U307" s="1079"/>
      <c r="V307" s="1079"/>
      <c r="W307" s="1079"/>
      <c r="X307" s="1079"/>
      <c r="Y307" s="1079"/>
      <c r="Z307" s="1079"/>
      <c r="AA307" s="1079"/>
      <c r="AB307" s="1079"/>
      <c r="AC307" s="146"/>
      <c r="AD307" s="146"/>
      <c r="AK307" s="146"/>
      <c r="AL307" s="146"/>
      <c r="AM307" s="146"/>
      <c r="AN307" s="146"/>
    </row>
    <row r="308" spans="1:40" x14ac:dyDescent="0.25">
      <c r="C308" s="272" t="s">
        <v>103</v>
      </c>
      <c r="D308" s="274">
        <f>D232+1</f>
        <v>2028</v>
      </c>
      <c r="E308" s="25"/>
      <c r="F308" s="272" t="s">
        <v>221</v>
      </c>
      <c r="G308" s="275" t="str">
        <f>Výpočty!L$48</f>
        <v>-</v>
      </c>
      <c r="H308" s="275" t="str">
        <f>IF(Výpočty!L$49="-"," ",CONCATENATE("- ",DAY(Výpočty!L$49),".",MONTH(Výpočty!L$49),".",D308))</f>
        <v xml:space="preserve"> </v>
      </c>
      <c r="L308" s="272" t="s">
        <v>103</v>
      </c>
      <c r="M308" s="274">
        <f>D308</f>
        <v>2028</v>
      </c>
      <c r="O308" s="272" t="s">
        <v>221</v>
      </c>
      <c r="P308" s="360" t="str">
        <f>Výpočty!L$44</f>
        <v>-</v>
      </c>
      <c r="Q308" s="360" t="str">
        <f>IF(P308="-"," ",H308)</f>
        <v xml:space="preserve"> </v>
      </c>
      <c r="T308" s="333"/>
      <c r="U308" s="333"/>
      <c r="V308" s="342" t="s">
        <v>147</v>
      </c>
      <c r="W308" s="274">
        <f>D308</f>
        <v>2028</v>
      </c>
      <c r="Z308" s="272" t="s">
        <v>221</v>
      </c>
      <c r="AA308" s="275" t="str">
        <f>G308</f>
        <v>-</v>
      </c>
      <c r="AB308" s="275" t="str">
        <f>H308</f>
        <v xml:space="preserve"> </v>
      </c>
      <c r="AC308" s="146"/>
      <c r="AD308" s="146"/>
      <c r="AK308" s="146"/>
      <c r="AL308" s="146"/>
      <c r="AM308" s="146"/>
      <c r="AN308" s="146"/>
    </row>
    <row r="309" spans="1:40" x14ac:dyDescent="0.25">
      <c r="B309" s="13" t="s">
        <v>66</v>
      </c>
      <c r="C309" s="13" t="s">
        <v>89</v>
      </c>
      <c r="D309" s="902" t="str">
        <f t="shared" ref="D309:D314" si="33">D233</f>
        <v>PRVOK s.r.o., IČ 281 28 257</v>
      </c>
      <c r="E309" s="903"/>
      <c r="F309" s="903"/>
      <c r="G309" s="903"/>
      <c r="H309" s="904"/>
      <c r="K309" s="13" t="s">
        <v>66</v>
      </c>
      <c r="L309" s="13" t="s">
        <v>89</v>
      </c>
      <c r="M309" s="1080" t="str">
        <f>D309</f>
        <v>PRVOK s.r.o., IČ 281 28 257</v>
      </c>
      <c r="N309" s="1081"/>
      <c r="O309" s="1081"/>
      <c r="P309" s="1081"/>
      <c r="Q309" s="1081"/>
      <c r="T309" s="13" t="s">
        <v>66</v>
      </c>
      <c r="U309" s="13" t="s">
        <v>89</v>
      </c>
      <c r="V309" s="1080" t="str">
        <f>D309</f>
        <v>PRVOK s.r.o., IČ 281 28 257</v>
      </c>
      <c r="W309" s="1081"/>
      <c r="X309" s="1081"/>
      <c r="Y309" s="1081"/>
      <c r="Z309" s="1081"/>
      <c r="AA309" s="1081"/>
      <c r="AB309" s="1081"/>
      <c r="AC309" s="146"/>
      <c r="AD309" s="146"/>
      <c r="AK309" s="146"/>
      <c r="AL309" s="146"/>
      <c r="AM309" s="146"/>
      <c r="AN309" s="146"/>
    </row>
    <row r="310" spans="1:40" x14ac:dyDescent="0.25">
      <c r="B310" s="13" t="s">
        <v>84</v>
      </c>
      <c r="C310" s="13" t="s">
        <v>90</v>
      </c>
      <c r="D310" s="902" t="str">
        <f t="shared" si="33"/>
        <v>PRVOK s.r.o., IČ 281 28 257</v>
      </c>
      <c r="E310" s="903"/>
      <c r="F310" s="903"/>
      <c r="G310" s="903"/>
      <c r="H310" s="904"/>
      <c r="K310" s="13" t="s">
        <v>84</v>
      </c>
      <c r="L310" s="13" t="s">
        <v>90</v>
      </c>
      <c r="M310" s="1061" t="str">
        <f>D310</f>
        <v>PRVOK s.r.o., IČ 281 28 257</v>
      </c>
      <c r="N310" s="1062"/>
      <c r="O310" s="1062"/>
      <c r="P310" s="1062"/>
      <c r="Q310" s="1063"/>
      <c r="T310" s="13" t="s">
        <v>84</v>
      </c>
      <c r="U310" s="13" t="s">
        <v>90</v>
      </c>
      <c r="V310" s="1061" t="str">
        <f>D310</f>
        <v>PRVOK s.r.o., IČ 281 28 257</v>
      </c>
      <c r="W310" s="1062"/>
      <c r="X310" s="1062"/>
      <c r="Y310" s="1062"/>
      <c r="Z310" s="1062"/>
      <c r="AA310" s="1062"/>
      <c r="AB310" s="1063"/>
      <c r="AC310" s="146"/>
      <c r="AD310" s="146"/>
      <c r="AK310" s="146"/>
      <c r="AL310" s="146"/>
      <c r="AM310" s="146"/>
      <c r="AN310" s="146"/>
    </row>
    <row r="311" spans="1:40" x14ac:dyDescent="0.25">
      <c r="B311" s="13" t="s">
        <v>85</v>
      </c>
      <c r="C311" s="13" t="s">
        <v>91</v>
      </c>
      <c r="D311" s="902" t="str">
        <f t="shared" si="33"/>
        <v>Obec Benešov nad Černou, IČ 00245780</v>
      </c>
      <c r="E311" s="903"/>
      <c r="F311" s="903"/>
      <c r="G311" s="903"/>
      <c r="H311" s="904"/>
      <c r="K311" s="13" t="s">
        <v>85</v>
      </c>
      <c r="L311" s="13" t="s">
        <v>91</v>
      </c>
      <c r="M311" s="1061" t="str">
        <f>D311</f>
        <v>Obec Benešov nad Černou, IČ 00245780</v>
      </c>
      <c r="N311" s="1062"/>
      <c r="O311" s="1062"/>
      <c r="P311" s="1062"/>
      <c r="Q311" s="1063"/>
      <c r="T311" s="13" t="s">
        <v>85</v>
      </c>
      <c r="U311" s="13" t="s">
        <v>91</v>
      </c>
      <c r="V311" s="1061" t="str">
        <f>D311</f>
        <v>Obec Benešov nad Černou, IČ 00245780</v>
      </c>
      <c r="W311" s="1062"/>
      <c r="X311" s="1062"/>
      <c r="Y311" s="1062"/>
      <c r="Z311" s="1062"/>
      <c r="AA311" s="1062"/>
      <c r="AB311" s="1063"/>
      <c r="AC311" s="146"/>
      <c r="AD311" s="146"/>
      <c r="AK311" s="146"/>
      <c r="AL311" s="146"/>
      <c r="AM311" s="146"/>
      <c r="AN311" s="146"/>
    </row>
    <row r="312" spans="1:40" x14ac:dyDescent="0.25">
      <c r="B312" s="13" t="s">
        <v>86</v>
      </c>
      <c r="C312" s="13" t="s">
        <v>93</v>
      </c>
      <c r="D312" s="1055" t="str">
        <f t="shared" si="33"/>
        <v>A</v>
      </c>
      <c r="E312" s="1056"/>
      <c r="F312" s="1056"/>
      <c r="G312" s="1056"/>
      <c r="H312" s="1057"/>
      <c r="K312" s="13" t="s">
        <v>86</v>
      </c>
      <c r="L312" s="13" t="s">
        <v>93</v>
      </c>
      <c r="M312" s="1058" t="str">
        <f>IF($D312="[vyplnit]"," ",$D312)</f>
        <v>A</v>
      </c>
      <c r="N312" s="1059"/>
      <c r="O312" s="1059"/>
      <c r="P312" s="1059"/>
      <c r="Q312" s="1060"/>
      <c r="T312" s="13" t="s">
        <v>86</v>
      </c>
      <c r="U312" s="13" t="s">
        <v>93</v>
      </c>
      <c r="V312" s="1064" t="str">
        <f>IF($D312="[vyplnit]"," ",$D312)</f>
        <v>A</v>
      </c>
      <c r="W312" s="1064"/>
      <c r="X312" s="1064"/>
      <c r="Y312" s="1064"/>
      <c r="Z312" s="1064"/>
      <c r="AA312" s="1064"/>
      <c r="AB312" s="1064"/>
      <c r="AC312" s="146"/>
      <c r="AD312" s="146"/>
      <c r="AK312" s="146"/>
      <c r="AL312" s="146"/>
      <c r="AM312" s="146"/>
      <c r="AN312" s="146"/>
    </row>
    <row r="313" spans="1:40" x14ac:dyDescent="0.25">
      <c r="B313" s="13" t="s">
        <v>87</v>
      </c>
      <c r="C313" s="13" t="s">
        <v>92</v>
      </c>
      <c r="D313" s="1055">
        <f t="shared" si="33"/>
        <v>1</v>
      </c>
      <c r="E313" s="1056"/>
      <c r="F313" s="1056"/>
      <c r="G313" s="1056"/>
      <c r="H313" s="1057"/>
      <c r="K313" s="13" t="s">
        <v>87</v>
      </c>
      <c r="L313" s="13" t="s">
        <v>92</v>
      </c>
      <c r="M313" s="1058">
        <f>IF($D313="[vyplnit]"," ",$D313)</f>
        <v>1</v>
      </c>
      <c r="N313" s="1059"/>
      <c r="O313" s="1059"/>
      <c r="P313" s="1059"/>
      <c r="Q313" s="1060"/>
      <c r="T313" s="13" t="s">
        <v>87</v>
      </c>
      <c r="U313" s="13" t="s">
        <v>92</v>
      </c>
      <c r="V313" s="1064">
        <f>IF($D313="[vyplnit]"," ",$D313)</f>
        <v>1</v>
      </c>
      <c r="W313" s="1064"/>
      <c r="X313" s="1064"/>
      <c r="Y313" s="1064"/>
      <c r="Z313" s="1064"/>
      <c r="AA313" s="1064"/>
      <c r="AB313" s="1064"/>
      <c r="AC313" s="146"/>
      <c r="AD313" s="146"/>
      <c r="AK313" s="146"/>
      <c r="AL313" s="146"/>
      <c r="AM313" s="146"/>
      <c r="AN313" s="146"/>
    </row>
    <row r="314" spans="1:40" x14ac:dyDescent="0.25">
      <c r="B314" s="13" t="s">
        <v>88</v>
      </c>
      <c r="C314" s="13" t="s">
        <v>94</v>
      </c>
      <c r="D314" s="1055" t="str">
        <f t="shared" si="33"/>
        <v>[vyplnit]</v>
      </c>
      <c r="E314" s="1056"/>
      <c r="F314" s="1056"/>
      <c r="G314" s="1056"/>
      <c r="H314" s="1057"/>
      <c r="K314" s="13" t="s">
        <v>88</v>
      </c>
      <c r="L314" s="13" t="s">
        <v>94</v>
      </c>
      <c r="M314" s="1058" t="str">
        <f>IF($D314="[vyplnit]"," ",$D314)</f>
        <v xml:space="preserve"> </v>
      </c>
      <c r="N314" s="1059"/>
      <c r="O314" s="1059"/>
      <c r="P314" s="1059"/>
      <c r="Q314" s="1060"/>
      <c r="T314" s="13" t="s">
        <v>88</v>
      </c>
      <c r="U314" s="13" t="s">
        <v>94</v>
      </c>
      <c r="V314" s="1064" t="str">
        <f>IF($D314="[vyplnit]"," ",$D314)</f>
        <v xml:space="preserve"> </v>
      </c>
      <c r="W314" s="1064"/>
      <c r="X314" s="1064"/>
      <c r="Y314" s="1064"/>
      <c r="Z314" s="1064"/>
      <c r="AA314" s="1064"/>
      <c r="AB314" s="1064"/>
      <c r="AC314" s="146"/>
      <c r="AD314" s="146"/>
      <c r="AK314" s="146"/>
      <c r="AL314" s="146"/>
      <c r="AM314" s="146"/>
      <c r="AN314" s="146"/>
    </row>
    <row r="315" spans="1:40" x14ac:dyDescent="0.25">
      <c r="AC315" s="146"/>
      <c r="AK315" s="146"/>
      <c r="AL315" s="146"/>
      <c r="AM315" s="146"/>
      <c r="AN315" s="146"/>
    </row>
    <row r="316" spans="1:40" x14ac:dyDescent="0.25">
      <c r="B316" s="1052" t="s">
        <v>5</v>
      </c>
      <c r="C316" s="884" t="s">
        <v>0</v>
      </c>
      <c r="D316" s="868"/>
      <c r="E316" s="868"/>
      <c r="F316" s="868"/>
      <c r="G316" s="868"/>
      <c r="H316" s="869"/>
      <c r="K316" s="1052" t="s">
        <v>5</v>
      </c>
      <c r="L316" s="884" t="s">
        <v>0</v>
      </c>
      <c r="M316" s="868"/>
      <c r="N316" s="868"/>
      <c r="O316" s="868"/>
      <c r="P316" s="868"/>
      <c r="Q316" s="869"/>
      <c r="T316" s="1052" t="s">
        <v>5</v>
      </c>
      <c r="U316" s="884" t="s">
        <v>0</v>
      </c>
      <c r="V316" s="868"/>
      <c r="W316" s="868"/>
      <c r="X316" s="868"/>
      <c r="Y316" s="868"/>
      <c r="Z316" s="868"/>
      <c r="AA316" s="868"/>
      <c r="AB316" s="869"/>
      <c r="AC316" s="146"/>
      <c r="AK316" s="146"/>
      <c r="AL316" s="146"/>
      <c r="AM316" s="146"/>
      <c r="AN316" s="146"/>
    </row>
    <row r="317" spans="1:40" x14ac:dyDescent="0.25">
      <c r="B317" s="1053"/>
      <c r="C317" s="1052" t="s">
        <v>1</v>
      </c>
      <c r="D317" s="1065" t="s">
        <v>133</v>
      </c>
      <c r="E317" s="884" t="s">
        <v>3</v>
      </c>
      <c r="F317" s="868"/>
      <c r="G317" s="884" t="s">
        <v>4</v>
      </c>
      <c r="H317" s="869"/>
      <c r="K317" s="1053"/>
      <c r="L317" s="1052" t="s">
        <v>1</v>
      </c>
      <c r="M317" s="1065" t="s">
        <v>133</v>
      </c>
      <c r="N317" s="884" t="s">
        <v>3</v>
      </c>
      <c r="O317" s="868"/>
      <c r="P317" s="884" t="s">
        <v>4</v>
      </c>
      <c r="Q317" s="869"/>
      <c r="T317" s="1053"/>
      <c r="U317" s="1052" t="s">
        <v>1</v>
      </c>
      <c r="V317" s="1065" t="s">
        <v>133</v>
      </c>
      <c r="W317" s="884" t="s">
        <v>3</v>
      </c>
      <c r="X317" s="868"/>
      <c r="Y317" s="868"/>
      <c r="Z317" s="884" t="s">
        <v>4</v>
      </c>
      <c r="AA317" s="868"/>
      <c r="AB317" s="869"/>
      <c r="AC317" s="146"/>
      <c r="AK317" s="146"/>
      <c r="AL317" s="146"/>
      <c r="AM317" s="146"/>
      <c r="AN317" s="146"/>
    </row>
    <row r="318" spans="1:40" x14ac:dyDescent="0.25">
      <c r="B318" s="1053"/>
      <c r="C318" s="1053"/>
      <c r="D318" s="1053"/>
      <c r="E318" s="28">
        <f>D308-1</f>
        <v>2027</v>
      </c>
      <c r="F318" s="28">
        <f>D308</f>
        <v>2028</v>
      </c>
      <c r="G318" s="28">
        <f>D308-1</f>
        <v>2027</v>
      </c>
      <c r="H318" s="28">
        <f>D308</f>
        <v>2028</v>
      </c>
      <c r="K318" s="1053"/>
      <c r="L318" s="1053"/>
      <c r="M318" s="1053"/>
      <c r="N318" s="28">
        <f>M308-1</f>
        <v>2027</v>
      </c>
      <c r="O318" s="28">
        <f>M308</f>
        <v>2028</v>
      </c>
      <c r="P318" s="28">
        <f>M308-1</f>
        <v>2027</v>
      </c>
      <c r="Q318" s="28">
        <f>M308</f>
        <v>2028</v>
      </c>
      <c r="T318" s="1053"/>
      <c r="U318" s="1053"/>
      <c r="V318" s="1053"/>
      <c r="W318" s="28">
        <f>W308</f>
        <v>2028</v>
      </c>
      <c r="X318" s="28">
        <f>W308</f>
        <v>2028</v>
      </c>
      <c r="Y318" s="28">
        <f>W308</f>
        <v>2028</v>
      </c>
      <c r="Z318" s="28">
        <f>W308</f>
        <v>2028</v>
      </c>
      <c r="AA318" s="28">
        <f>W308</f>
        <v>2028</v>
      </c>
      <c r="AB318" s="28">
        <f>W308</f>
        <v>2028</v>
      </c>
      <c r="AC318" s="146"/>
      <c r="AK318" s="146"/>
      <c r="AL318" s="146"/>
      <c r="AM318" s="146"/>
      <c r="AN318" s="146"/>
    </row>
    <row r="319" spans="1:40" x14ac:dyDescent="0.25">
      <c r="B319" s="1054"/>
      <c r="C319" s="1054"/>
      <c r="D319" s="1054"/>
      <c r="E319" s="7" t="s">
        <v>151</v>
      </c>
      <c r="F319" s="7" t="s">
        <v>98</v>
      </c>
      <c r="G319" s="7" t="s">
        <v>151</v>
      </c>
      <c r="H319" s="19" t="s">
        <v>98</v>
      </c>
      <c r="K319" s="1054"/>
      <c r="L319" s="1054"/>
      <c r="M319" s="1054"/>
      <c r="N319" s="7" t="s">
        <v>151</v>
      </c>
      <c r="O319" s="7" t="s">
        <v>98</v>
      </c>
      <c r="P319" s="7" t="s">
        <v>151</v>
      </c>
      <c r="Q319" s="19" t="s">
        <v>98</v>
      </c>
      <c r="T319" s="1054"/>
      <c r="U319" s="1054"/>
      <c r="V319" s="1054"/>
      <c r="W319" s="7" t="s">
        <v>150</v>
      </c>
      <c r="X319" s="7" t="s">
        <v>98</v>
      </c>
      <c r="Y319" s="7" t="s">
        <v>149</v>
      </c>
      <c r="Z319" s="7" t="s">
        <v>150</v>
      </c>
      <c r="AA319" s="7" t="s">
        <v>98</v>
      </c>
      <c r="AB319" s="19" t="s">
        <v>149</v>
      </c>
      <c r="AC319" s="146"/>
      <c r="AK319" s="146"/>
      <c r="AL319" s="146"/>
      <c r="AM319" s="146"/>
      <c r="AN319" s="146"/>
    </row>
    <row r="320" spans="1:40" x14ac:dyDescent="0.25">
      <c r="B320" s="11">
        <v>1</v>
      </c>
      <c r="C320" s="11">
        <v>2</v>
      </c>
      <c r="D320" s="11" t="s">
        <v>95</v>
      </c>
      <c r="E320" s="11">
        <v>3</v>
      </c>
      <c r="F320" s="11">
        <v>4</v>
      </c>
      <c r="G320" s="11">
        <v>6</v>
      </c>
      <c r="H320" s="22">
        <v>7</v>
      </c>
      <c r="K320" s="11">
        <v>1</v>
      </c>
      <c r="L320" s="11">
        <v>2</v>
      </c>
      <c r="M320" s="11" t="s">
        <v>95</v>
      </c>
      <c r="N320" s="11">
        <v>3</v>
      </c>
      <c r="O320" s="11">
        <v>4</v>
      </c>
      <c r="P320" s="11">
        <v>6</v>
      </c>
      <c r="Q320" s="22">
        <v>7</v>
      </c>
      <c r="T320" s="11">
        <v>1</v>
      </c>
      <c r="U320" s="11">
        <v>2</v>
      </c>
      <c r="V320" s="11" t="s">
        <v>95</v>
      </c>
      <c r="W320" s="11">
        <v>3</v>
      </c>
      <c r="X320" s="11">
        <v>4</v>
      </c>
      <c r="Y320" s="11">
        <v>5</v>
      </c>
      <c r="Z320" s="11">
        <v>6</v>
      </c>
      <c r="AA320" s="11">
        <v>7</v>
      </c>
      <c r="AB320" s="22">
        <v>8</v>
      </c>
      <c r="AC320" s="146"/>
      <c r="AK320" s="146"/>
      <c r="AL320" s="146"/>
      <c r="AM320" s="146"/>
      <c r="AN320" s="146"/>
    </row>
    <row r="321" spans="2:40" x14ac:dyDescent="0.25">
      <c r="B321" s="9" t="s">
        <v>8</v>
      </c>
      <c r="C321" s="10" t="s">
        <v>9</v>
      </c>
      <c r="D321" s="11" t="s">
        <v>10</v>
      </c>
      <c r="E321" s="41">
        <f>SUM(E322:E325)</f>
        <v>0</v>
      </c>
      <c r="F321" s="41">
        <f>SUM(F322:F325)</f>
        <v>0</v>
      </c>
      <c r="G321" s="41">
        <f>SUM(G322:G325)</f>
        <v>0</v>
      </c>
      <c r="H321" s="86">
        <f>SUM(H322:H325)</f>
        <v>0</v>
      </c>
      <c r="K321" s="9" t="s">
        <v>8</v>
      </c>
      <c r="L321" s="10" t="s">
        <v>9</v>
      </c>
      <c r="M321" s="11" t="s">
        <v>10</v>
      </c>
      <c r="N321" s="41">
        <f>SUM(N322:N325)</f>
        <v>0</v>
      </c>
      <c r="O321" s="41">
        <f>SUM(O322:O325)</f>
        <v>0</v>
      </c>
      <c r="P321" s="41">
        <f>SUM(P322:P325)</f>
        <v>0</v>
      </c>
      <c r="Q321" s="86">
        <f>SUM(Q322:Q325)</f>
        <v>0</v>
      </c>
      <c r="T321" s="9" t="s">
        <v>8</v>
      </c>
      <c r="U321" s="10" t="s">
        <v>9</v>
      </c>
      <c r="V321" s="11" t="s">
        <v>10</v>
      </c>
      <c r="W321" s="86">
        <f t="shared" ref="W321:AB321" si="34">SUM(W322:W325)</f>
        <v>0</v>
      </c>
      <c r="X321" s="86">
        <f t="shared" si="34"/>
        <v>0</v>
      </c>
      <c r="Y321" s="86">
        <f t="shared" si="34"/>
        <v>0</v>
      </c>
      <c r="Z321" s="86">
        <f t="shared" si="34"/>
        <v>0</v>
      </c>
      <c r="AA321" s="86">
        <f t="shared" si="34"/>
        <v>0</v>
      </c>
      <c r="AB321" s="86">
        <f t="shared" si="34"/>
        <v>0</v>
      </c>
      <c r="AC321" s="146"/>
      <c r="AK321" s="146"/>
      <c r="AL321" s="146"/>
      <c r="AM321" s="146"/>
      <c r="AN321" s="146"/>
    </row>
    <row r="322" spans="2:40" x14ac:dyDescent="0.25">
      <c r="B322" s="12" t="s">
        <v>11</v>
      </c>
      <c r="C322" s="13" t="s">
        <v>12</v>
      </c>
      <c r="D322" s="3" t="s">
        <v>10</v>
      </c>
      <c r="E322" s="44">
        <v>0</v>
      </c>
      <c r="F322" s="44">
        <f>IF(YEAR(Postup!$H$25)&gt;$D$308,Provozování!AD23,IF(AND(DAY(Postup!$H$25)=31,MONTH(Postup!$H$25)=12,YEAR(Postup!$H$25)=$D$308),Provozování!AD23,IF(YEAR(Postup!$H$25)=$D$308,Provozování!$BL23,0)))</f>
        <v>0</v>
      </c>
      <c r="G322" s="44">
        <v>0</v>
      </c>
      <c r="H322" s="334">
        <v>0</v>
      </c>
      <c r="K322" s="12" t="s">
        <v>11</v>
      </c>
      <c r="L322" s="13" t="s">
        <v>12</v>
      </c>
      <c r="M322" s="3" t="s">
        <v>10</v>
      </c>
      <c r="N322" s="44">
        <v>0</v>
      </c>
      <c r="O322" s="44">
        <f>IF(Provozování!$AF$16="Neaktivní",0,Provozování!AF23)</f>
        <v>0</v>
      </c>
      <c r="P322" s="44">
        <v>0</v>
      </c>
      <c r="Q322" s="334">
        <v>0</v>
      </c>
      <c r="T322" s="12" t="s">
        <v>11</v>
      </c>
      <c r="U322" s="13" t="s">
        <v>12</v>
      </c>
      <c r="V322" s="3" t="s">
        <v>10</v>
      </c>
      <c r="W322" s="462">
        <v>0</v>
      </c>
      <c r="X322" s="44">
        <f>IF(Provozování!$AF$16="Neaktivní",F322,O322)</f>
        <v>0</v>
      </c>
      <c r="Y322" s="44">
        <f>W322-X322</f>
        <v>0</v>
      </c>
      <c r="Z322" s="337">
        <v>0</v>
      </c>
      <c r="AA322" s="337">
        <v>0</v>
      </c>
      <c r="AB322" s="334">
        <v>0</v>
      </c>
      <c r="AC322" s="146"/>
      <c r="AK322" s="146"/>
      <c r="AL322" s="146"/>
      <c r="AM322" s="146"/>
      <c r="AN322" s="146"/>
    </row>
    <row r="323" spans="2:40" x14ac:dyDescent="0.25">
      <c r="B323" s="12" t="s">
        <v>13</v>
      </c>
      <c r="C323" s="12" t="s">
        <v>14</v>
      </c>
      <c r="D323" s="3" t="s">
        <v>10</v>
      </c>
      <c r="E323" s="52">
        <v>0</v>
      </c>
      <c r="F323" s="44">
        <f>IF(YEAR(Postup!$H$25)&gt;$D$308,Provozování!AD24,IF(AND(DAY(Postup!$H$25)=31,MONTH(Postup!$H$25)=12,YEAR(Postup!$H$25)=$D$308),Provozování!AD24,IF(YEAR(Postup!$H$25)=$D$308,Provozování!$BL24,0)))</f>
        <v>0</v>
      </c>
      <c r="G323" s="52">
        <v>0</v>
      </c>
      <c r="H323" s="30">
        <f>IF(YEAR(Postup!$H$25)&gt;$D$308,Provozování!AE24,IF(AND(DAY(Postup!$H$25)=31,MONTH(Postup!$H$25)=12,YEAR(Postup!$H$25)=$D$308),Provozování!AE24,IF(YEAR(Postup!$H$25)=$D$308,Provozování!$BM24,0)))</f>
        <v>0</v>
      </c>
      <c r="K323" s="12" t="s">
        <v>13</v>
      </c>
      <c r="L323" s="12" t="s">
        <v>14</v>
      </c>
      <c r="M323" s="3" t="s">
        <v>10</v>
      </c>
      <c r="N323" s="52">
        <v>0</v>
      </c>
      <c r="O323" s="44">
        <f>IF(Provozování!$AF$16="Neaktivní",0,Provozování!AF24)</f>
        <v>0</v>
      </c>
      <c r="P323" s="52">
        <v>0</v>
      </c>
      <c r="Q323" s="53">
        <f>IF(Provozování!$AF$16="Neaktivní",0,Provozování!AG24)</f>
        <v>0</v>
      </c>
      <c r="T323" s="12" t="s">
        <v>13</v>
      </c>
      <c r="U323" s="12" t="s">
        <v>14</v>
      </c>
      <c r="V323" s="3" t="s">
        <v>10</v>
      </c>
      <c r="W323" s="463">
        <v>0</v>
      </c>
      <c r="X323" s="44">
        <f>IF(Provozování!$AF$16="Neaktivní",F323,O323)</f>
        <v>0</v>
      </c>
      <c r="Y323" s="44">
        <f>W323-X323</f>
        <v>0</v>
      </c>
      <c r="Z323" s="463">
        <v>0</v>
      </c>
      <c r="AA323" s="44">
        <f>IF(Provozování!$AF$16="Neaktivní",H323,Q323)</f>
        <v>0</v>
      </c>
      <c r="AB323" s="30">
        <f>Z323-AA323</f>
        <v>0</v>
      </c>
      <c r="AC323" s="146"/>
      <c r="AK323" s="146"/>
      <c r="AL323" s="146"/>
      <c r="AM323" s="146"/>
      <c r="AN323" s="146"/>
    </row>
    <row r="324" spans="2:40" x14ac:dyDescent="0.25">
      <c r="B324" s="12" t="s">
        <v>15</v>
      </c>
      <c r="C324" s="13" t="s">
        <v>16</v>
      </c>
      <c r="D324" s="3" t="s">
        <v>10</v>
      </c>
      <c r="E324" s="30">
        <v>0</v>
      </c>
      <c r="F324" s="456">
        <f>IF(YEAR(Postup!$H$25)&gt;$D$308,Provozování!AD25,IF(AND(DAY(Postup!$H$25)=31,MONTH(Postup!$H$25)=12,YEAR(Postup!$H$25)=$D$308),Provozování!AD25,IF(YEAR(Postup!$H$25)=$D$308,Provozování!$BL25,0)))</f>
        <v>0</v>
      </c>
      <c r="G324" s="30">
        <v>0</v>
      </c>
      <c r="H324" s="457">
        <f>IF(YEAR(Postup!$H$25)&gt;$D$308,Provozování!AE25,IF(AND(DAY(Postup!$H$25)=31,MONTH(Postup!$H$25)=12,YEAR(Postup!$H$25)=$D$308),Provozování!AE25,IF(YEAR(Postup!$H$25)=$D$308,Provozování!$BM25,0)))</f>
        <v>0</v>
      </c>
      <c r="K324" s="12" t="s">
        <v>15</v>
      </c>
      <c r="L324" s="13" t="s">
        <v>16</v>
      </c>
      <c r="M324" s="3" t="s">
        <v>10</v>
      </c>
      <c r="N324" s="30">
        <v>0</v>
      </c>
      <c r="O324" s="457">
        <f>IF(Provozování!$AF$16="Neaktivní",0,Provozování!AF25)</f>
        <v>0</v>
      </c>
      <c r="P324" s="30">
        <v>0</v>
      </c>
      <c r="Q324" s="457">
        <f>IF(Provozování!$AF$16="Neaktivní",0,Provozování!AG25)</f>
        <v>0</v>
      </c>
      <c r="T324" s="12" t="s">
        <v>15</v>
      </c>
      <c r="U324" s="13" t="s">
        <v>16</v>
      </c>
      <c r="V324" s="3" t="s">
        <v>10</v>
      </c>
      <c r="W324" s="464">
        <v>0</v>
      </c>
      <c r="X324" s="44">
        <f>IF(Provozování!$AF$16="Neaktivní",F324,O324)</f>
        <v>0</v>
      </c>
      <c r="Y324" s="44">
        <f>W324-X324</f>
        <v>0</v>
      </c>
      <c r="Z324" s="464">
        <v>0</v>
      </c>
      <c r="AA324" s="44">
        <f>IF(Provozování!$AF$16="Neaktivní",H324,Q324)</f>
        <v>0</v>
      </c>
      <c r="AB324" s="30">
        <f>Z324-AA324</f>
        <v>0</v>
      </c>
      <c r="AC324" s="146"/>
      <c r="AK324" s="146"/>
      <c r="AL324" s="146"/>
      <c r="AM324" s="146"/>
      <c r="AN324" s="146"/>
    </row>
    <row r="325" spans="2:40" x14ac:dyDescent="0.25">
      <c r="B325" s="12" t="s">
        <v>17</v>
      </c>
      <c r="C325" s="13" t="s">
        <v>18</v>
      </c>
      <c r="D325" s="3" t="s">
        <v>10</v>
      </c>
      <c r="E325" s="87">
        <v>0</v>
      </c>
      <c r="F325" s="456">
        <f>IF(YEAR(Postup!$H$25)&gt;$D$308,Provozování!AD26,IF(AND(DAY(Postup!$H$25)=31,MONTH(Postup!$H$25)=12,YEAR(Postup!$H$25)=$D$308),Provozování!AD26,IF(YEAR(Postup!$H$25)=$D$308,Provozování!$BL26,0)))</f>
        <v>0</v>
      </c>
      <c r="G325" s="87">
        <v>0</v>
      </c>
      <c r="H325" s="457">
        <f>IF(YEAR(Postup!$H$25)&gt;$D$308,Provozování!AE26,IF(AND(DAY(Postup!$H$25)=31,MONTH(Postup!$H$25)=12,YEAR(Postup!$H$25)=$D$308),Provozování!AE26,IF(YEAR(Postup!$H$25)=$D$308,Provozování!$BM26,0)))</f>
        <v>0</v>
      </c>
      <c r="K325" s="12" t="s">
        <v>17</v>
      </c>
      <c r="L325" s="13" t="s">
        <v>18</v>
      </c>
      <c r="M325" s="3" t="s">
        <v>10</v>
      </c>
      <c r="N325" s="87">
        <v>0</v>
      </c>
      <c r="O325" s="457">
        <f>IF(Provozování!$AF$16="Neaktivní",0,Provozování!AF26)</f>
        <v>0</v>
      </c>
      <c r="P325" s="87">
        <v>0</v>
      </c>
      <c r="Q325" s="457">
        <f>IF(Provozování!$AF$16="Neaktivní",0,Provozování!AG26)</f>
        <v>0</v>
      </c>
      <c r="T325" s="12" t="s">
        <v>17</v>
      </c>
      <c r="U325" s="13" t="s">
        <v>18</v>
      </c>
      <c r="V325" s="3" t="s">
        <v>10</v>
      </c>
      <c r="W325" s="465">
        <v>0</v>
      </c>
      <c r="X325" s="44">
        <f>IF(Provozování!$AF$16="Neaktivní",F325,O325)</f>
        <v>0</v>
      </c>
      <c r="Y325" s="44">
        <f>W325-X325</f>
        <v>0</v>
      </c>
      <c r="Z325" s="465">
        <v>0</v>
      </c>
      <c r="AA325" s="44">
        <f>IF(Provozování!$AF$16="Neaktivní",H325,Q325)</f>
        <v>0</v>
      </c>
      <c r="AB325" s="30">
        <f>Z325-AA325</f>
        <v>0</v>
      </c>
      <c r="AC325" s="146"/>
      <c r="AK325" s="146"/>
      <c r="AL325" s="146"/>
      <c r="AM325" s="146"/>
      <c r="AN325" s="146"/>
    </row>
    <row r="326" spans="2:40" x14ac:dyDescent="0.25">
      <c r="B326" s="9" t="s">
        <v>19</v>
      </c>
      <c r="C326" s="10" t="s">
        <v>20</v>
      </c>
      <c r="D326" s="11" t="s">
        <v>10</v>
      </c>
      <c r="E326" s="88">
        <f>SUM(E327:E328)</f>
        <v>0</v>
      </c>
      <c r="F326" s="88">
        <f>SUM(F327:F328)</f>
        <v>0</v>
      </c>
      <c r="G326" s="88">
        <f>SUM(G327:G328)</f>
        <v>0</v>
      </c>
      <c r="H326" s="86">
        <f>SUM(H327:H328)</f>
        <v>0</v>
      </c>
      <c r="K326" s="9" t="s">
        <v>19</v>
      </c>
      <c r="L326" s="10" t="s">
        <v>20</v>
      </c>
      <c r="M326" s="11" t="s">
        <v>10</v>
      </c>
      <c r="N326" s="88">
        <f>SUM(N327:N328)</f>
        <v>0</v>
      </c>
      <c r="O326" s="88">
        <f>SUM(O327:O328)</f>
        <v>0</v>
      </c>
      <c r="P326" s="88">
        <f>SUM(P327:P328)</f>
        <v>0</v>
      </c>
      <c r="Q326" s="86">
        <f>SUM(Q327:Q328)</f>
        <v>0</v>
      </c>
      <c r="T326" s="9" t="s">
        <v>19</v>
      </c>
      <c r="U326" s="10" t="s">
        <v>20</v>
      </c>
      <c r="V326" s="11" t="s">
        <v>10</v>
      </c>
      <c r="W326" s="86">
        <f t="shared" ref="W326:AB326" si="35">SUM(W327:W328)</f>
        <v>0</v>
      </c>
      <c r="X326" s="86">
        <f t="shared" si="35"/>
        <v>0</v>
      </c>
      <c r="Y326" s="86">
        <f t="shared" si="35"/>
        <v>0</v>
      </c>
      <c r="Z326" s="86">
        <f t="shared" si="35"/>
        <v>0</v>
      </c>
      <c r="AA326" s="86">
        <f t="shared" si="35"/>
        <v>0</v>
      </c>
      <c r="AB326" s="86">
        <f t="shared" si="35"/>
        <v>0</v>
      </c>
      <c r="AC326" s="146"/>
      <c r="AK326" s="146"/>
      <c r="AL326" s="146"/>
      <c r="AM326" s="146"/>
      <c r="AN326" s="146"/>
    </row>
    <row r="327" spans="2:40" x14ac:dyDescent="0.25">
      <c r="B327" s="12" t="s">
        <v>21</v>
      </c>
      <c r="C327" s="12" t="s">
        <v>22</v>
      </c>
      <c r="D327" s="3" t="s">
        <v>10</v>
      </c>
      <c r="E327" s="30">
        <v>0</v>
      </c>
      <c r="F327" s="456">
        <f>IF(YEAR(Postup!$H$25)&gt;$D$308,Provozování!AD28,IF(AND(DAY(Postup!$H$25)=31,MONTH(Postup!$H$25)=12,YEAR(Postup!$H$25)=$D$308),Provozování!AD28,IF(YEAR(Postup!$H$25)=$D$308,Provozování!$BL28,0)))</f>
        <v>0</v>
      </c>
      <c r="G327" s="30">
        <v>0</v>
      </c>
      <c r="H327" s="457">
        <f>IF(YEAR(Postup!$H$25)&gt;$D$308,Provozování!AE28,IF(AND(DAY(Postup!$H$25)=31,MONTH(Postup!$H$25)=12,YEAR(Postup!$H$25)=$D$308),Provozování!AE28,IF(YEAR(Postup!$H$25)=$D$308,Provozování!$BM28,0)))</f>
        <v>0</v>
      </c>
      <c r="K327" s="12" t="s">
        <v>21</v>
      </c>
      <c r="L327" s="12" t="s">
        <v>22</v>
      </c>
      <c r="M327" s="3" t="s">
        <v>10</v>
      </c>
      <c r="N327" s="30">
        <v>0</v>
      </c>
      <c r="O327" s="457">
        <f>IF(Provozování!$AF$16="Neaktivní",0,Provozování!AF28)</f>
        <v>0</v>
      </c>
      <c r="P327" s="30">
        <v>0</v>
      </c>
      <c r="Q327" s="457">
        <f>IF(Provozování!$AF$16="Neaktivní",0,Provozování!AG28)</f>
        <v>0</v>
      </c>
      <c r="T327" s="12" t="s">
        <v>21</v>
      </c>
      <c r="U327" s="12" t="s">
        <v>22</v>
      </c>
      <c r="V327" s="3" t="s">
        <v>10</v>
      </c>
      <c r="W327" s="462">
        <v>0</v>
      </c>
      <c r="X327" s="44">
        <f>IF(Provozování!$AF$16="Neaktivní",F327,O327)</f>
        <v>0</v>
      </c>
      <c r="Y327" s="44">
        <f>W327-X327</f>
        <v>0</v>
      </c>
      <c r="Z327" s="464">
        <v>0</v>
      </c>
      <c r="AA327" s="44">
        <f>IF(Provozování!$AF$16="Neaktivní",H327,Q327)</f>
        <v>0</v>
      </c>
      <c r="AB327" s="30">
        <f>Z327-AA327</f>
        <v>0</v>
      </c>
      <c r="AC327" s="146"/>
      <c r="AK327" s="146"/>
      <c r="AL327" s="146"/>
      <c r="AM327" s="146"/>
      <c r="AN327" s="146"/>
    </row>
    <row r="328" spans="2:40" x14ac:dyDescent="0.25">
      <c r="B328" s="12" t="s">
        <v>23</v>
      </c>
      <c r="C328" s="12" t="s">
        <v>24</v>
      </c>
      <c r="D328" s="3" t="s">
        <v>10</v>
      </c>
      <c r="E328" s="87">
        <v>0</v>
      </c>
      <c r="F328" s="456">
        <f>IF(YEAR(Postup!$H$25)&gt;$D$308,Provozování!AD29,IF(AND(DAY(Postup!$H$25)=31,MONTH(Postup!$H$25)=12,YEAR(Postup!$H$25)=$D$308),Provozování!AD29,IF(YEAR(Postup!$H$25)=$D$308,Provozování!$BL29,0)))</f>
        <v>0</v>
      </c>
      <c r="G328" s="87">
        <v>0</v>
      </c>
      <c r="H328" s="457">
        <f>IF(YEAR(Postup!$H$25)&gt;$D$308,Provozování!AE29,IF(AND(DAY(Postup!$H$25)=31,MONTH(Postup!$H$25)=12,YEAR(Postup!$H$25)=$D$308),Provozování!AE29,IF(YEAR(Postup!$H$25)=$D$308,Provozování!$BM29,0)))</f>
        <v>0</v>
      </c>
      <c r="K328" s="12" t="s">
        <v>23</v>
      </c>
      <c r="L328" s="12" t="s">
        <v>24</v>
      </c>
      <c r="M328" s="3" t="s">
        <v>10</v>
      </c>
      <c r="N328" s="87">
        <v>0</v>
      </c>
      <c r="O328" s="457">
        <f>IF(Provozování!$AF$16="Neaktivní",0,Provozování!AF29)</f>
        <v>0</v>
      </c>
      <c r="P328" s="87">
        <v>0</v>
      </c>
      <c r="Q328" s="457">
        <f>IF(Provozování!$AF$16="Neaktivní",0,Provozování!AG29)</f>
        <v>0</v>
      </c>
      <c r="T328" s="12" t="s">
        <v>23</v>
      </c>
      <c r="U328" s="12" t="s">
        <v>24</v>
      </c>
      <c r="V328" s="3" t="s">
        <v>10</v>
      </c>
      <c r="W328" s="463">
        <v>0</v>
      </c>
      <c r="X328" s="44">
        <f>IF(Provozování!$AF$16="Neaktivní",F328,O328)</f>
        <v>0</v>
      </c>
      <c r="Y328" s="44">
        <f>W328-X328</f>
        <v>0</v>
      </c>
      <c r="Z328" s="465">
        <v>0</v>
      </c>
      <c r="AA328" s="44">
        <f>IF(Provozování!$AF$16="Neaktivní",H328,Q328)</f>
        <v>0</v>
      </c>
      <c r="AB328" s="30">
        <f>Z328-AA328</f>
        <v>0</v>
      </c>
      <c r="AC328" s="146"/>
      <c r="AK328" s="146"/>
      <c r="AL328" s="146"/>
      <c r="AM328" s="146"/>
      <c r="AN328" s="146"/>
    </row>
    <row r="329" spans="2:40" x14ac:dyDescent="0.25">
      <c r="B329" s="9" t="s">
        <v>25</v>
      </c>
      <c r="C329" s="10" t="s">
        <v>400</v>
      </c>
      <c r="D329" s="11" t="s">
        <v>10</v>
      </c>
      <c r="E329" s="41">
        <f>SUM(E330:E331)</f>
        <v>0</v>
      </c>
      <c r="F329" s="41">
        <f>SUM(F330:F331)</f>
        <v>0</v>
      </c>
      <c r="G329" s="41">
        <f>SUM(G330:G331)</f>
        <v>0</v>
      </c>
      <c r="H329" s="86">
        <f>SUM(H330:H331)</f>
        <v>0</v>
      </c>
      <c r="K329" s="9" t="s">
        <v>25</v>
      </c>
      <c r="L329" s="10" t="s">
        <v>400</v>
      </c>
      <c r="M329" s="11" t="s">
        <v>10</v>
      </c>
      <c r="N329" s="41">
        <f>SUM(N330:N331)</f>
        <v>0</v>
      </c>
      <c r="O329" s="41">
        <f>SUM(O330:O331)</f>
        <v>0</v>
      </c>
      <c r="P329" s="41">
        <f>SUM(P330:P331)</f>
        <v>0</v>
      </c>
      <c r="Q329" s="86">
        <f>SUM(Q330:Q331)</f>
        <v>0</v>
      </c>
      <c r="T329" s="9" t="s">
        <v>25</v>
      </c>
      <c r="U329" s="10" t="s">
        <v>400</v>
      </c>
      <c r="V329" s="11" t="s">
        <v>10</v>
      </c>
      <c r="W329" s="86">
        <f t="shared" ref="W329:AB329" si="36">SUM(W330:W331)</f>
        <v>0</v>
      </c>
      <c r="X329" s="86">
        <f t="shared" si="36"/>
        <v>0</v>
      </c>
      <c r="Y329" s="86">
        <f t="shared" si="36"/>
        <v>0</v>
      </c>
      <c r="Z329" s="86">
        <f t="shared" si="36"/>
        <v>0</v>
      </c>
      <c r="AA329" s="86">
        <f t="shared" si="36"/>
        <v>0</v>
      </c>
      <c r="AB329" s="86">
        <f t="shared" si="36"/>
        <v>0</v>
      </c>
      <c r="AC329" s="146"/>
      <c r="AD329" s="146"/>
      <c r="AK329" s="146"/>
      <c r="AL329" s="146"/>
      <c r="AM329" s="146"/>
      <c r="AN329" s="146"/>
    </row>
    <row r="330" spans="2:40" x14ac:dyDescent="0.25">
      <c r="B330" s="12" t="s">
        <v>26</v>
      </c>
      <c r="C330" s="13" t="s">
        <v>390</v>
      </c>
      <c r="D330" s="3" t="s">
        <v>10</v>
      </c>
      <c r="E330" s="44">
        <v>0</v>
      </c>
      <c r="F330" s="456">
        <f>IF(YEAR(Postup!$H$25)&gt;$D$308,Provozování!AD31,IF(AND(DAY(Postup!$H$25)=31,MONTH(Postup!$H$25)=12,YEAR(Postup!$H$25)=$D$308),Provozování!AD31,IF(YEAR(Postup!$H$25)=$D$308,Provozování!$BL31,0)))</f>
        <v>0</v>
      </c>
      <c r="G330" s="44">
        <v>0</v>
      </c>
      <c r="H330" s="457">
        <f>IF(YEAR(Postup!$H$25)&gt;$D$308,Provozování!AE31,IF(AND(DAY(Postup!$H$25)=31,MONTH(Postup!$H$25)=12,YEAR(Postup!$H$25)=$D$308),Provozování!AE31,IF(YEAR(Postup!$H$25)=$D$308,Provozování!$BM31,0)))</f>
        <v>0</v>
      </c>
      <c r="K330" s="12" t="s">
        <v>26</v>
      </c>
      <c r="L330" s="13" t="s">
        <v>390</v>
      </c>
      <c r="M330" s="3" t="s">
        <v>10</v>
      </c>
      <c r="N330" s="44">
        <v>0</v>
      </c>
      <c r="O330" s="457">
        <f>IF(Provozování!$AF$16="Neaktivní",0,Provozování!AF31)</f>
        <v>0</v>
      </c>
      <c r="P330" s="44">
        <v>0</v>
      </c>
      <c r="Q330" s="457">
        <f>IF(Provozování!$AF$16="Neaktivní",0,Provozování!AG31)</f>
        <v>0</v>
      </c>
      <c r="T330" s="12" t="s">
        <v>26</v>
      </c>
      <c r="U330" s="13" t="s">
        <v>390</v>
      </c>
      <c r="V330" s="3" t="s">
        <v>10</v>
      </c>
      <c r="W330" s="462">
        <v>0</v>
      </c>
      <c r="X330" s="44">
        <f>IF(Provozování!$AF$16="Neaktivní",F330,O330)</f>
        <v>0</v>
      </c>
      <c r="Y330" s="44">
        <f>W330-X330</f>
        <v>0</v>
      </c>
      <c r="Z330" s="462">
        <v>0</v>
      </c>
      <c r="AA330" s="44">
        <f>IF(Provozování!$AF$16="Neaktivní",H330,Q330)</f>
        <v>0</v>
      </c>
      <c r="AB330" s="30">
        <f>Z330-AA330</f>
        <v>0</v>
      </c>
      <c r="AC330" s="146"/>
      <c r="AD330" s="146"/>
      <c r="AK330" s="146"/>
      <c r="AL330" s="146"/>
      <c r="AM330" s="146"/>
      <c r="AN330" s="146"/>
    </row>
    <row r="331" spans="2:40" x14ac:dyDescent="0.25">
      <c r="B331" s="12" t="s">
        <v>27</v>
      </c>
      <c r="C331" s="13" t="s">
        <v>401</v>
      </c>
      <c r="D331" s="3" t="s">
        <v>10</v>
      </c>
      <c r="E331" s="44">
        <v>0</v>
      </c>
      <c r="F331" s="456">
        <f>IF(YEAR(Postup!$H$25)&gt;$D$308,Provozování!AD32,IF(AND(DAY(Postup!$H$25)=31,MONTH(Postup!$H$25)=12,YEAR(Postup!$H$25)=$D$308),Provozování!AD32,IF(YEAR(Postup!$H$25)=$D$308,Provozování!$BL32,0)))</f>
        <v>0</v>
      </c>
      <c r="G331" s="44">
        <v>0</v>
      </c>
      <c r="H331" s="457">
        <f>IF(YEAR(Postup!$H$25)&gt;$D$308,Provozování!AE32,IF(AND(DAY(Postup!$H$25)=31,MONTH(Postup!$H$25)=12,YEAR(Postup!$H$25)=$D$308),Provozování!AE32,IF(YEAR(Postup!$H$25)=$D$308,Provozování!$BM32,0)))</f>
        <v>0</v>
      </c>
      <c r="K331" s="12" t="s">
        <v>27</v>
      </c>
      <c r="L331" s="13" t="s">
        <v>401</v>
      </c>
      <c r="M331" s="3" t="s">
        <v>10</v>
      </c>
      <c r="N331" s="44">
        <v>0</v>
      </c>
      <c r="O331" s="457">
        <f>IF(Provozování!$AF$16="Neaktivní",0,Provozování!AF32)</f>
        <v>0</v>
      </c>
      <c r="P331" s="44">
        <v>0</v>
      </c>
      <c r="Q331" s="457">
        <f>IF(Provozování!$AF$16="Neaktivní",0,Provozování!AG32)</f>
        <v>0</v>
      </c>
      <c r="T331" s="12" t="s">
        <v>27</v>
      </c>
      <c r="U331" s="13" t="s">
        <v>401</v>
      </c>
      <c r="V331" s="3" t="s">
        <v>10</v>
      </c>
      <c r="W331" s="462">
        <v>0</v>
      </c>
      <c r="X331" s="44">
        <f>IF(Provozování!$AF$16="Neaktivní",F331,O331)</f>
        <v>0</v>
      </c>
      <c r="Y331" s="44">
        <f>W331-X331</f>
        <v>0</v>
      </c>
      <c r="Z331" s="462">
        <v>0</v>
      </c>
      <c r="AA331" s="44">
        <f>IF(Provozování!$AF$16="Neaktivní",H331,Q331)</f>
        <v>0</v>
      </c>
      <c r="AB331" s="30">
        <f>Z331-AA331</f>
        <v>0</v>
      </c>
      <c r="AC331" s="146"/>
      <c r="AD331" s="146"/>
      <c r="AK331" s="146"/>
      <c r="AL331" s="146"/>
      <c r="AM331" s="146"/>
      <c r="AN331" s="146"/>
    </row>
    <row r="332" spans="2:40" x14ac:dyDescent="0.25">
      <c r="B332" s="9" t="s">
        <v>28</v>
      </c>
      <c r="C332" s="10" t="s">
        <v>29</v>
      </c>
      <c r="D332" s="11" t="s">
        <v>10</v>
      </c>
      <c r="E332" s="41">
        <f>SUM(E333:E336)</f>
        <v>0</v>
      </c>
      <c r="F332" s="41">
        <f>SUM(F333:F336)</f>
        <v>0</v>
      </c>
      <c r="G332" s="41">
        <f>SUM(G333:G336)</f>
        <v>0</v>
      </c>
      <c r="H332" s="86">
        <f>SUM(H333:H336)</f>
        <v>0</v>
      </c>
      <c r="K332" s="9" t="s">
        <v>28</v>
      </c>
      <c r="L332" s="10" t="s">
        <v>29</v>
      </c>
      <c r="M332" s="11" t="s">
        <v>10</v>
      </c>
      <c r="N332" s="41">
        <f>SUM(N333:N336)</f>
        <v>0</v>
      </c>
      <c r="O332" s="41">
        <f>SUM(O333:O336)</f>
        <v>0</v>
      </c>
      <c r="P332" s="41">
        <f>SUM(P333:P336)</f>
        <v>0</v>
      </c>
      <c r="Q332" s="86">
        <f>SUM(Q333:Q336)</f>
        <v>0</v>
      </c>
      <c r="T332" s="9" t="s">
        <v>28</v>
      </c>
      <c r="U332" s="10" t="s">
        <v>29</v>
      </c>
      <c r="V332" s="11" t="s">
        <v>10</v>
      </c>
      <c r="W332" s="86">
        <f t="shared" ref="W332:AB332" si="37">SUM(W333:W336)</f>
        <v>0</v>
      </c>
      <c r="X332" s="86">
        <f t="shared" si="37"/>
        <v>0</v>
      </c>
      <c r="Y332" s="86">
        <f t="shared" si="37"/>
        <v>0</v>
      </c>
      <c r="Z332" s="86">
        <f t="shared" si="37"/>
        <v>0</v>
      </c>
      <c r="AA332" s="86">
        <f t="shared" si="37"/>
        <v>0</v>
      </c>
      <c r="AB332" s="86">
        <f t="shared" si="37"/>
        <v>0</v>
      </c>
      <c r="AC332" s="146"/>
      <c r="AD332" s="146"/>
      <c r="AK332" s="146"/>
      <c r="AL332" s="146"/>
      <c r="AM332" s="146"/>
      <c r="AN332" s="146"/>
    </row>
    <row r="333" spans="2:40" x14ac:dyDescent="0.25">
      <c r="B333" s="12" t="s">
        <v>30</v>
      </c>
      <c r="C333" s="12" t="s">
        <v>381</v>
      </c>
      <c r="D333" s="3" t="s">
        <v>10</v>
      </c>
      <c r="E333" s="44">
        <v>0</v>
      </c>
      <c r="F333" s="336">
        <f>IF(YEAR(Postup!$H$25)&gt;$D$308,Provozování!AD34,IF(AND(DAY(Postup!$H$25)=31,MONTH(Postup!$H$25)=12,YEAR(Postup!$H$25)=$D$308),Provozování!AD34,IF(YEAR(Postup!$H$25)=$D$308,Provozování!$BL34,0)))</f>
        <v>0</v>
      </c>
      <c r="G333" s="44">
        <v>0</v>
      </c>
      <c r="H333" s="335">
        <f>IF(YEAR(Postup!$H$25)&gt;$D$308,Provozování!AE34,IF(AND(DAY(Postup!$H$25)=31,MONTH(Postup!$H$25)=12,YEAR(Postup!$H$25)=$D$308),Provozování!AE34,IF(YEAR(Postup!$H$25)=$D$308,Provozování!$BM34,0)))</f>
        <v>0</v>
      </c>
      <c r="K333" s="12" t="s">
        <v>30</v>
      </c>
      <c r="L333" s="12" t="s">
        <v>381</v>
      </c>
      <c r="M333" s="3" t="s">
        <v>10</v>
      </c>
      <c r="N333" s="44">
        <v>0</v>
      </c>
      <c r="O333" s="456">
        <f>IF(Provozování!$AF$16="Neaktivní",0,Provozování!AF34)</f>
        <v>0</v>
      </c>
      <c r="P333" s="44">
        <v>0</v>
      </c>
      <c r="Q333" s="461">
        <f>IF(Provozování!$AF$16="Neaktivní",0,Provozování!AG34)</f>
        <v>0</v>
      </c>
      <c r="T333" s="12" t="s">
        <v>30</v>
      </c>
      <c r="U333" s="12" t="s">
        <v>381</v>
      </c>
      <c r="V333" s="3" t="s">
        <v>10</v>
      </c>
      <c r="W333" s="462">
        <v>0</v>
      </c>
      <c r="X333" s="44">
        <f>IF(Provozování!$AF$16="Neaktivní",F333,O333)</f>
        <v>0</v>
      </c>
      <c r="Y333" s="44">
        <f>W333-X333</f>
        <v>0</v>
      </c>
      <c r="Z333" s="462">
        <v>0</v>
      </c>
      <c r="AA333" s="44">
        <f>IF(Provozování!$AF$16="Neaktivní",H333,Q333)</f>
        <v>0</v>
      </c>
      <c r="AB333" s="30">
        <f>Z333-AA333</f>
        <v>0</v>
      </c>
      <c r="AC333" s="146"/>
      <c r="AD333" s="146"/>
      <c r="AK333" s="146"/>
      <c r="AL333" s="146"/>
      <c r="AM333" s="146"/>
      <c r="AN333" s="146"/>
    </row>
    <row r="334" spans="2:40" x14ac:dyDescent="0.25">
      <c r="B334" s="12" t="s">
        <v>32</v>
      </c>
      <c r="C334" s="12" t="s">
        <v>383</v>
      </c>
      <c r="D334" s="3" t="s">
        <v>10</v>
      </c>
      <c r="E334" s="44">
        <v>0</v>
      </c>
      <c r="F334" s="662">
        <f>IF(YEAR(Postup!$H$25)&gt;$D$308,Provozování!AD35,IF(AND(DAY(Postup!$H$25)=31,MONTH(Postup!$H$25)=12,YEAR(Postup!$H$25)=$D$308),Provozování!AD35,IF(YEAR(Postup!$H$25)=$D$308,Provozování!$BL35,0)))</f>
        <v>0</v>
      </c>
      <c r="G334" s="44">
        <v>0</v>
      </c>
      <c r="H334" s="663">
        <f>IF(YEAR(Postup!$H$25)&gt;$D$308,Provozování!AE35,IF(AND(DAY(Postup!$H$25)=31,MONTH(Postup!$H$25)=12,YEAR(Postup!$H$25)=$D$308),Provozování!AE35,IF(YEAR(Postup!$H$25)=$D$308,Provozování!$BM35,0)))</f>
        <v>0</v>
      </c>
      <c r="K334" s="12" t="s">
        <v>32</v>
      </c>
      <c r="L334" s="12" t="s">
        <v>383</v>
      </c>
      <c r="M334" s="3" t="s">
        <v>10</v>
      </c>
      <c r="N334" s="44">
        <v>0</v>
      </c>
      <c r="O334" s="666">
        <f>IF(Provozování!$AF$16="Neaktivní",0,Provozování!AF35)</f>
        <v>0</v>
      </c>
      <c r="P334" s="44">
        <v>0</v>
      </c>
      <c r="Q334" s="669">
        <f>IF(Provozování!$AF$16="Neaktivní",0,Provozování!AG35)</f>
        <v>0</v>
      </c>
      <c r="T334" s="12" t="s">
        <v>32</v>
      </c>
      <c r="U334" s="12" t="s">
        <v>383</v>
      </c>
      <c r="V334" s="3" t="s">
        <v>10</v>
      </c>
      <c r="W334" s="640">
        <f>IF(Provozování!$AF$16="Aktivní",O334,F334)</f>
        <v>0</v>
      </c>
      <c r="X334" s="44">
        <f>IF(Provozování!$AF$16="Neaktivní",F334,O334)</f>
        <v>0</v>
      </c>
      <c r="Y334" s="44">
        <f>W334-X334</f>
        <v>0</v>
      </c>
      <c r="Z334" s="640">
        <f>IF(Provozování!$AF$16="Aktivní",Q334,H334)</f>
        <v>0</v>
      </c>
      <c r="AA334" s="44">
        <f>IF(Provozování!$AF$16="Neaktivní",H334,Q334)</f>
        <v>0</v>
      </c>
      <c r="AB334" s="30">
        <f>Z334-AA334</f>
        <v>0</v>
      </c>
      <c r="AC334" s="146"/>
      <c r="AD334" s="146"/>
      <c r="AK334" s="146"/>
      <c r="AL334" s="146"/>
      <c r="AM334" s="146"/>
      <c r="AN334" s="146"/>
    </row>
    <row r="335" spans="2:40" x14ac:dyDescent="0.25">
      <c r="B335" s="12" t="s">
        <v>33</v>
      </c>
      <c r="C335" s="12" t="s">
        <v>382</v>
      </c>
      <c r="D335" s="3" t="s">
        <v>10</v>
      </c>
      <c r="E335" s="44">
        <v>0</v>
      </c>
      <c r="F335" s="637">
        <f>IF(YEAR(Postup!$H$25)&gt;$D$308,Provozování!AD36,IF(AND(DAY(Postup!$H$25)=31,MONTH(Postup!$H$25)=12,YEAR(Postup!$H$25)=$D$308),Provozování!AD36,IF(YEAR(Postup!$H$25)=$D$308,Provozování!$BL36,0)))</f>
        <v>0</v>
      </c>
      <c r="G335" s="44">
        <v>0</v>
      </c>
      <c r="H335" s="636">
        <f>IF(YEAR(Postup!$H$25)&gt;$D$308,Provozování!AE36,IF(AND(DAY(Postup!$H$25)=31,MONTH(Postup!$H$25)=12,YEAR(Postup!$H$25)=$D$308),Provozování!AE36,IF(YEAR(Postup!$H$25)=$D$308,Provozování!$BM36,0)))</f>
        <v>0</v>
      </c>
      <c r="K335" s="12" t="s">
        <v>33</v>
      </c>
      <c r="L335" s="12" t="s">
        <v>382</v>
      </c>
      <c r="M335" s="3" t="s">
        <v>10</v>
      </c>
      <c r="N335" s="44">
        <v>0</v>
      </c>
      <c r="O335" s="640">
        <f>IF(Provozování!$AF$16="Neaktivní",0,Provozování!AF36)</f>
        <v>0</v>
      </c>
      <c r="P335" s="44">
        <v>0</v>
      </c>
      <c r="Q335" s="772">
        <f>IF(Provozování!$AF$16="Neaktivní",0,Provozování!AG36)</f>
        <v>0</v>
      </c>
      <c r="T335" s="12" t="s">
        <v>33</v>
      </c>
      <c r="U335" s="12" t="s">
        <v>382</v>
      </c>
      <c r="V335" s="3" t="s">
        <v>10</v>
      </c>
      <c r="W335" s="462">
        <v>0</v>
      </c>
      <c r="X335" s="44">
        <f>IF(Provozování!$AF$16="Neaktivní",F335,O335)</f>
        <v>0</v>
      </c>
      <c r="Y335" s="44">
        <f>W335-X335</f>
        <v>0</v>
      </c>
      <c r="Z335" s="462">
        <v>0</v>
      </c>
      <c r="AA335" s="44">
        <f>IF(Provozování!$AF$16="Neaktivní",H335,Q335)</f>
        <v>0</v>
      </c>
      <c r="AB335" s="30">
        <f>Z335-AA335</f>
        <v>0</v>
      </c>
      <c r="AC335" s="146"/>
      <c r="AD335" s="146"/>
      <c r="AK335" s="146"/>
      <c r="AL335" s="146"/>
      <c r="AM335" s="146"/>
      <c r="AN335" s="146"/>
    </row>
    <row r="336" spans="2:40" x14ac:dyDescent="0.25">
      <c r="B336" s="12" t="s">
        <v>34</v>
      </c>
      <c r="C336" s="497" t="s">
        <v>384</v>
      </c>
      <c r="D336" s="3" t="s">
        <v>10</v>
      </c>
      <c r="E336" s="44">
        <v>0</v>
      </c>
      <c r="F336" s="666">
        <f>IF(YEAR(Postup!$H$25)&gt;$D$308,Provozování!AD37,IF(AND(DAY(Postup!$H$25)=31,MONTH(Postup!$H$25)=12,YEAR(Postup!$H$25)=$D$308),Provozování!AD37,IF(YEAR(Postup!$H$25)=$D$308,Provozování!$BL37,0)))</f>
        <v>0</v>
      </c>
      <c r="G336" s="44">
        <v>0</v>
      </c>
      <c r="H336" s="667">
        <f>IF(YEAR(Postup!$H$25)&gt;$D$308,Provozování!AE37,IF(AND(DAY(Postup!$H$25)=31,MONTH(Postup!$H$25)=12,YEAR(Postup!$H$25)=$D$308),Provozování!AE37,IF(YEAR(Postup!$H$25)=$D$308,Provozování!$BM37,0)))</f>
        <v>0</v>
      </c>
      <c r="K336" s="12" t="s">
        <v>34</v>
      </c>
      <c r="L336" s="497" t="s">
        <v>384</v>
      </c>
      <c r="M336" s="3" t="s">
        <v>10</v>
      </c>
      <c r="N336" s="44">
        <v>0</v>
      </c>
      <c r="O336" s="666">
        <f>IF(Provozování!$AF$16="Neaktivní",0,Provozování!AF37)</f>
        <v>0</v>
      </c>
      <c r="P336" s="44">
        <v>0</v>
      </c>
      <c r="Q336" s="667">
        <f>IF(Provozování!$AF$16="Neaktivní",0,Provozování!AG37)</f>
        <v>0</v>
      </c>
      <c r="T336" s="12" t="s">
        <v>34</v>
      </c>
      <c r="U336" s="497" t="s">
        <v>384</v>
      </c>
      <c r="V336" s="3" t="s">
        <v>10</v>
      </c>
      <c r="W336" s="637">
        <f>IF(Provozování!$AF$16="Aktivní",O336,F336)</f>
        <v>0</v>
      </c>
      <c r="X336" s="337">
        <f>IF(Provozování!$AF$16="Neaktivní",F336,O336)</f>
        <v>0</v>
      </c>
      <c r="Y336" s="337">
        <f>W336-X336</f>
        <v>0</v>
      </c>
      <c r="Z336" s="637">
        <f>IF(Provozování!$AF$16="Aktivní",Q336,H336)</f>
        <v>0</v>
      </c>
      <c r="AA336" s="337">
        <f>IF(Provozování!$AF$16="Neaktivní",H336,Q336)</f>
        <v>0</v>
      </c>
      <c r="AB336" s="334">
        <f>Z336-AA336</f>
        <v>0</v>
      </c>
      <c r="AC336" s="146"/>
      <c r="AD336" s="146"/>
      <c r="AE336" s="1073" t="s">
        <v>291</v>
      </c>
      <c r="AF336" s="1074"/>
      <c r="AG336" s="339">
        <f>Y318</f>
        <v>2028</v>
      </c>
      <c r="AH336" s="339">
        <f>AG336</f>
        <v>2028</v>
      </c>
      <c r="AK336" s="146"/>
      <c r="AL336" s="146"/>
      <c r="AM336" s="146"/>
      <c r="AN336" s="146"/>
    </row>
    <row r="337" spans="2:40" x14ac:dyDescent="0.25">
      <c r="B337" s="9" t="s">
        <v>35</v>
      </c>
      <c r="C337" s="10" t="s">
        <v>387</v>
      </c>
      <c r="D337" s="11" t="s">
        <v>10</v>
      </c>
      <c r="E337" s="41">
        <f>SUM(E338:E340)</f>
        <v>0</v>
      </c>
      <c r="F337" s="41">
        <f>SUM(F338:F340)</f>
        <v>0</v>
      </c>
      <c r="G337" s="41">
        <f>SUM(G338:G340)</f>
        <v>0</v>
      </c>
      <c r="H337" s="86">
        <f>SUM(H338:H340)</f>
        <v>0</v>
      </c>
      <c r="K337" s="9" t="s">
        <v>35</v>
      </c>
      <c r="L337" s="10" t="s">
        <v>387</v>
      </c>
      <c r="M337" s="11" t="s">
        <v>10</v>
      </c>
      <c r="N337" s="41">
        <f>SUM(N338:N340)</f>
        <v>0</v>
      </c>
      <c r="O337" s="41">
        <f>SUM(O338:O340)</f>
        <v>0</v>
      </c>
      <c r="P337" s="41">
        <f>SUM(P338:P340)</f>
        <v>0</v>
      </c>
      <c r="Q337" s="86">
        <f>SUM(Q338:Q340)</f>
        <v>0</v>
      </c>
      <c r="T337" s="9" t="s">
        <v>35</v>
      </c>
      <c r="U337" s="10" t="s">
        <v>387</v>
      </c>
      <c r="V337" s="11" t="s">
        <v>10</v>
      </c>
      <c r="W337" s="86">
        <f t="shared" ref="W337:AB337" si="38">SUM(W338:W340)</f>
        <v>0</v>
      </c>
      <c r="X337" s="86">
        <f t="shared" si="38"/>
        <v>0</v>
      </c>
      <c r="Y337" s="86">
        <f t="shared" si="38"/>
        <v>0</v>
      </c>
      <c r="Z337" s="86">
        <f t="shared" si="38"/>
        <v>0</v>
      </c>
      <c r="AA337" s="86">
        <f t="shared" si="38"/>
        <v>0</v>
      </c>
      <c r="AB337" s="86">
        <f t="shared" si="38"/>
        <v>0</v>
      </c>
      <c r="AC337" s="146"/>
      <c r="AD337" s="146"/>
      <c r="AE337" s="1075"/>
      <c r="AF337" s="1076"/>
      <c r="AG337" s="1072" t="s">
        <v>238</v>
      </c>
      <c r="AH337" s="1072" t="s">
        <v>239</v>
      </c>
      <c r="AK337" s="146"/>
      <c r="AL337" s="146"/>
      <c r="AM337" s="146"/>
      <c r="AN337" s="146"/>
    </row>
    <row r="338" spans="2:40" x14ac:dyDescent="0.25">
      <c r="B338" s="12" t="s">
        <v>37</v>
      </c>
      <c r="C338" s="13" t="s">
        <v>38</v>
      </c>
      <c r="D338" s="3" t="s">
        <v>10</v>
      </c>
      <c r="E338" s="44">
        <v>0</v>
      </c>
      <c r="F338" s="337">
        <v>0</v>
      </c>
      <c r="G338" s="44">
        <v>0</v>
      </c>
      <c r="H338" s="30">
        <f>IF(YEAR(Postup!$H$25)&gt;$D$308,Provozování!AE39,IF(AND(DAY(Postup!$H$25)=31,MONTH(Postup!$H$25)=12,YEAR(Postup!$H$25)=$D$308),Provozování!AE39,IF(YEAR(Postup!$H$25)=$D$308,Provozování!$BM39,0)))</f>
        <v>0</v>
      </c>
      <c r="K338" s="12" t="s">
        <v>37</v>
      </c>
      <c r="L338" s="13" t="s">
        <v>38</v>
      </c>
      <c r="M338" s="3" t="s">
        <v>10</v>
      </c>
      <c r="N338" s="44">
        <v>0</v>
      </c>
      <c r="O338" s="337">
        <v>0</v>
      </c>
      <c r="P338" s="44">
        <v>0</v>
      </c>
      <c r="Q338" s="53">
        <f>IF(Provozování!$AF$16="Neaktivní",0,Provozování!AG39)</f>
        <v>0</v>
      </c>
      <c r="T338" s="12" t="s">
        <v>37</v>
      </c>
      <c r="U338" s="13" t="s">
        <v>38</v>
      </c>
      <c r="V338" s="3" t="s">
        <v>10</v>
      </c>
      <c r="W338" s="337">
        <v>0</v>
      </c>
      <c r="X338" s="337">
        <v>0</v>
      </c>
      <c r="Y338" s="337">
        <v>0</v>
      </c>
      <c r="Z338" s="462">
        <v>0</v>
      </c>
      <c r="AA338" s="44">
        <f>IF(Provozování!$AF$16="Neaktivní",H338,Q338)</f>
        <v>0</v>
      </c>
      <c r="AB338" s="30">
        <f>Z338-AA338</f>
        <v>0</v>
      </c>
      <c r="AC338" s="146"/>
      <c r="AD338" s="146"/>
      <c r="AE338" s="1077"/>
      <c r="AF338" s="1078"/>
      <c r="AG338" s="1000"/>
      <c r="AH338" s="1000"/>
      <c r="AK338" s="146"/>
      <c r="AL338" s="146"/>
      <c r="AM338" s="146"/>
      <c r="AN338" s="146"/>
    </row>
    <row r="339" spans="2:40" x14ac:dyDescent="0.25">
      <c r="B339" s="12" t="s">
        <v>39</v>
      </c>
      <c r="C339" s="12" t="s">
        <v>40</v>
      </c>
      <c r="D339" s="3" t="s">
        <v>10</v>
      </c>
      <c r="E339" s="44">
        <v>0</v>
      </c>
      <c r="F339" s="456">
        <f>IF(YEAR(Postup!$H$25)&gt;$D$308,Provozování!AD40,IF(AND(DAY(Postup!$H$25)=31,MONTH(Postup!$H$25)=12,YEAR(Postup!$H$25)=$D$308),Provozování!AD40,IF(YEAR(Postup!$H$25)=$D$308,Provozování!$BL40,0)))</f>
        <v>0</v>
      </c>
      <c r="G339" s="44">
        <v>0</v>
      </c>
      <c r="H339" s="457">
        <f>IF(YEAR(Postup!$H$25)&gt;$D$308,Provozování!AE40,IF(AND(DAY(Postup!$H$25)=31,MONTH(Postup!$H$25)=12,YEAR(Postup!$H$25)=$D$308),Provozování!AE40,IF(YEAR(Postup!$H$25)=$D$308,Provozování!$BM40,0)))</f>
        <v>0</v>
      </c>
      <c r="K339" s="12" t="s">
        <v>39</v>
      </c>
      <c r="L339" s="12" t="s">
        <v>40</v>
      </c>
      <c r="M339" s="3" t="s">
        <v>10</v>
      </c>
      <c r="N339" s="44">
        <v>0</v>
      </c>
      <c r="O339" s="457">
        <f>IF(Provozování!$AF$16="Neaktivní",0,Provozování!AF40)</f>
        <v>0</v>
      </c>
      <c r="P339" s="44">
        <v>0</v>
      </c>
      <c r="Q339" s="457">
        <f>IF(Provozování!$AF$16="Neaktivní",0,Provozování!AG40)</f>
        <v>0</v>
      </c>
      <c r="T339" s="12" t="s">
        <v>39</v>
      </c>
      <c r="U339" s="12" t="s">
        <v>40</v>
      </c>
      <c r="V339" s="3" t="s">
        <v>10</v>
      </c>
      <c r="W339" s="462">
        <v>0</v>
      </c>
      <c r="X339" s="44">
        <f>IF(Provozování!$AF$16="Neaktivní",F339,O339)</f>
        <v>0</v>
      </c>
      <c r="Y339" s="44">
        <f>W339-X339</f>
        <v>0</v>
      </c>
      <c r="Z339" s="462">
        <v>0</v>
      </c>
      <c r="AA339" s="44">
        <f>IF(Provozování!$AF$16="Neaktivní",H339,Q339)</f>
        <v>0</v>
      </c>
      <c r="AB339" s="30">
        <f>Z339-AA339</f>
        <v>0</v>
      </c>
      <c r="AC339" s="146"/>
      <c r="AD339" s="146"/>
      <c r="AE339" s="12" t="s">
        <v>326</v>
      </c>
      <c r="AF339" s="12" t="s">
        <v>329</v>
      </c>
      <c r="AG339" s="423">
        <f>Z374</f>
        <v>0</v>
      </c>
      <c r="AH339" s="423">
        <f>AB374</f>
        <v>0</v>
      </c>
      <c r="AK339" s="146"/>
      <c r="AL339" s="146"/>
      <c r="AM339" s="146"/>
      <c r="AN339" s="146"/>
    </row>
    <row r="340" spans="2:40" x14ac:dyDescent="0.25">
      <c r="B340" s="12" t="s">
        <v>41</v>
      </c>
      <c r="C340" s="13" t="s">
        <v>42</v>
      </c>
      <c r="D340" s="3" t="s">
        <v>10</v>
      </c>
      <c r="E340" s="44">
        <v>0</v>
      </c>
      <c r="F340" s="456">
        <f>IF(YEAR(Postup!$H$25)&gt;$D$308,Provozování!AD41,IF(AND(DAY(Postup!$H$25)=31,MONTH(Postup!$H$25)=12,YEAR(Postup!$H$25)=$D$308),Provozování!AD41,IF(YEAR(Postup!$H$25)=$D$308,Provozování!$BL41,0)))</f>
        <v>0</v>
      </c>
      <c r="G340" s="44">
        <v>0</v>
      </c>
      <c r="H340" s="457">
        <f>IF(YEAR(Postup!$H$25)&gt;$D$308,Provozování!AE41,IF(AND(DAY(Postup!$H$25)=31,MONTH(Postup!$H$25)=12,YEAR(Postup!$H$25)=$D$308),Provozování!AE41,IF(YEAR(Postup!$H$25)=$D$308,Provozování!$BM41,0)))</f>
        <v>0</v>
      </c>
      <c r="K340" s="12" t="s">
        <v>41</v>
      </c>
      <c r="L340" s="13" t="s">
        <v>42</v>
      </c>
      <c r="M340" s="3" t="s">
        <v>10</v>
      </c>
      <c r="N340" s="44">
        <v>0</v>
      </c>
      <c r="O340" s="457">
        <f>IF(Provozování!$AF$16="Neaktivní",0,Provozování!AF41)</f>
        <v>0</v>
      </c>
      <c r="P340" s="44">
        <v>0</v>
      </c>
      <c r="Q340" s="457">
        <f>IF(Provozování!$AF$16="Neaktivní",0,Provozování!AG41)</f>
        <v>0</v>
      </c>
      <c r="T340" s="12" t="s">
        <v>41</v>
      </c>
      <c r="U340" s="13" t="s">
        <v>42</v>
      </c>
      <c r="V340" s="3" t="s">
        <v>10</v>
      </c>
      <c r="W340" s="462">
        <v>0</v>
      </c>
      <c r="X340" s="44">
        <f>IF(Provozování!$AF$16="Neaktivní",F340,O340)</f>
        <v>0</v>
      </c>
      <c r="Y340" s="44">
        <f>W340-X340</f>
        <v>0</v>
      </c>
      <c r="Z340" s="462">
        <v>0</v>
      </c>
      <c r="AA340" s="44">
        <f>IF(Provozování!$AF$16="Neaktivní",H340,Q340)</f>
        <v>0</v>
      </c>
      <c r="AB340" s="30">
        <f>Z340-AA340</f>
        <v>0</v>
      </c>
      <c r="AC340" s="146"/>
      <c r="AD340" s="146"/>
      <c r="AE340" s="12" t="s">
        <v>327</v>
      </c>
      <c r="AF340" s="13" t="s">
        <v>331</v>
      </c>
      <c r="AG340" s="270">
        <f>Y373</f>
        <v>0</v>
      </c>
      <c r="AH340" s="270">
        <f>AA373</f>
        <v>0</v>
      </c>
      <c r="AK340" s="146"/>
      <c r="AL340" s="146"/>
      <c r="AM340" s="146"/>
      <c r="AN340" s="146"/>
    </row>
    <row r="341" spans="2:40" x14ac:dyDescent="0.25">
      <c r="B341" s="9" t="s">
        <v>43</v>
      </c>
      <c r="C341" s="10" t="s">
        <v>44</v>
      </c>
      <c r="D341" s="11" t="s">
        <v>10</v>
      </c>
      <c r="E341" s="44">
        <v>0</v>
      </c>
      <c r="F341" s="456">
        <f>IF(YEAR(Postup!$H$25)&gt;$D$308,Provozování!AD42,IF(AND(DAY(Postup!$H$25)=31,MONTH(Postup!$H$25)=12,YEAR(Postup!$H$25)=$D$308),Provozování!AD42,IF(YEAR(Postup!$H$25)=$D$308,Provozování!$BL42,0)))</f>
        <v>0</v>
      </c>
      <c r="G341" s="44">
        <v>0</v>
      </c>
      <c r="H341" s="457">
        <f>IF(YEAR(Postup!$H$25)&gt;$D$308,Provozování!AF42,IF(AND(DAY(Postup!$H$25)=31,MONTH(Postup!$H$25)=12,YEAR(Postup!$H$25)=$D$308),Provozování!AF42,IF(YEAR(Postup!$H$25)=$D$308,Provozování!$BL42,0)))</f>
        <v>0</v>
      </c>
      <c r="K341" s="9" t="s">
        <v>43</v>
      </c>
      <c r="L341" s="10" t="s">
        <v>44</v>
      </c>
      <c r="M341" s="11" t="s">
        <v>10</v>
      </c>
      <c r="N341" s="44">
        <v>0</v>
      </c>
      <c r="O341" s="457">
        <f>IF(Provozování!$AF$16="Neaktivní",0,Provozování!AF42)</f>
        <v>0</v>
      </c>
      <c r="P341" s="44">
        <v>0</v>
      </c>
      <c r="Q341" s="457">
        <f>IF(Provozování!$AF$16="Neaktivní",0,Provozování!AG42)</f>
        <v>0</v>
      </c>
      <c r="T341" s="9" t="s">
        <v>43</v>
      </c>
      <c r="U341" s="10" t="s">
        <v>44</v>
      </c>
      <c r="V341" s="11" t="s">
        <v>10</v>
      </c>
      <c r="W341" s="462">
        <v>0</v>
      </c>
      <c r="X341" s="44">
        <f>IF(Provozování!$AF$16="Neaktivní",F341,O341)</f>
        <v>0</v>
      </c>
      <c r="Y341" s="44">
        <f>W341-X341</f>
        <v>0</v>
      </c>
      <c r="Z341" s="462">
        <v>0</v>
      </c>
      <c r="AA341" s="44">
        <f>IF(Provozování!$AF$16="Neaktivní",H341,Q341)</f>
        <v>0</v>
      </c>
      <c r="AB341" s="30">
        <f>Z341-AA341</f>
        <v>0</v>
      </c>
      <c r="AC341" s="146"/>
      <c r="AD341" s="146"/>
      <c r="AE341" s="12" t="s">
        <v>328</v>
      </c>
      <c r="AF341" s="13" t="s">
        <v>330</v>
      </c>
      <c r="AG341" s="270">
        <f>Z373</f>
        <v>0</v>
      </c>
      <c r="AH341" s="270">
        <f>AB373</f>
        <v>0</v>
      </c>
      <c r="AK341" s="146"/>
      <c r="AL341" s="146"/>
      <c r="AM341" s="146"/>
      <c r="AN341" s="146"/>
    </row>
    <row r="342" spans="2:40" x14ac:dyDescent="0.25">
      <c r="B342" s="9" t="s">
        <v>45</v>
      </c>
      <c r="C342" s="10" t="s">
        <v>388</v>
      </c>
      <c r="D342" s="11" t="s">
        <v>10</v>
      </c>
      <c r="E342" s="44">
        <v>0</v>
      </c>
      <c r="F342" s="456">
        <f>IF(YEAR(Postup!$H$25)&gt;$D$308,Provozování!AD43,IF(AND(DAY(Postup!$H$25)=31,MONTH(Postup!$H$25)=12,YEAR(Postup!$H$25)=$D$308),Provozování!AD43,IF(YEAR(Postup!$H$25)=$D$308,Provozování!$BL43,0)))</f>
        <v>0</v>
      </c>
      <c r="G342" s="44">
        <v>0</v>
      </c>
      <c r="H342" s="457">
        <f>IF(YEAR(Postup!$H$25)&gt;$D$308,Provozování!AF43,IF(AND(DAY(Postup!$H$25)=31,MONTH(Postup!$H$25)=12,YEAR(Postup!$H$25)=$D$308),Provozování!AF43,IF(YEAR(Postup!$H$25)=$D$308,Provozování!$BL43,0)))</f>
        <v>0</v>
      </c>
      <c r="K342" s="9" t="s">
        <v>45</v>
      </c>
      <c r="L342" s="10" t="s">
        <v>388</v>
      </c>
      <c r="M342" s="11" t="s">
        <v>10</v>
      </c>
      <c r="N342" s="44">
        <v>0</v>
      </c>
      <c r="O342" s="457">
        <f>IF(Provozování!$AF$16="Neaktivní",0,Provozování!AF43)</f>
        <v>0</v>
      </c>
      <c r="P342" s="44">
        <v>0</v>
      </c>
      <c r="Q342" s="457">
        <f>IF(Provozování!$AF$16="Neaktivní",0,Provozování!AG43)</f>
        <v>0</v>
      </c>
      <c r="T342" s="9" t="s">
        <v>45</v>
      </c>
      <c r="U342" s="10" t="s">
        <v>388</v>
      </c>
      <c r="V342" s="11" t="s">
        <v>10</v>
      </c>
      <c r="W342" s="462">
        <v>0</v>
      </c>
      <c r="X342" s="44">
        <f>IF(Provozování!$AF$16="Neaktivní",F342,O342)</f>
        <v>0</v>
      </c>
      <c r="Y342" s="44">
        <f>ABS(W342)-ABS(X342)</f>
        <v>0</v>
      </c>
      <c r="Z342" s="462">
        <v>0</v>
      </c>
      <c r="AA342" s="44">
        <f>IF(Provozování!$AF$16="Neaktivní",H342,Q342)</f>
        <v>0</v>
      </c>
      <c r="AB342" s="30">
        <f>ABS(Z342)-ABS(AA342)</f>
        <v>0</v>
      </c>
      <c r="AC342" s="146"/>
      <c r="AD342" s="146"/>
      <c r="AE342" s="12" t="s">
        <v>332</v>
      </c>
      <c r="AF342" s="12" t="s">
        <v>340</v>
      </c>
      <c r="AG342" s="270">
        <f>X346-(X334+X336)</f>
        <v>0</v>
      </c>
      <c r="AH342" s="270">
        <f>AA346-(AA334+AA336)</f>
        <v>0</v>
      </c>
      <c r="AK342" s="146"/>
      <c r="AL342" s="146"/>
      <c r="AM342" s="146"/>
      <c r="AN342" s="146"/>
    </row>
    <row r="343" spans="2:40" x14ac:dyDescent="0.25">
      <c r="B343" s="9" t="s">
        <v>46</v>
      </c>
      <c r="C343" s="10" t="s">
        <v>47</v>
      </c>
      <c r="D343" s="11" t="s">
        <v>10</v>
      </c>
      <c r="E343" s="44">
        <v>0</v>
      </c>
      <c r="F343" s="456">
        <f>IF(YEAR(Postup!$H$25)&gt;$D$308,Provozování!AD44,IF(AND(DAY(Postup!$H$25)=31,MONTH(Postup!$H$25)=12,YEAR(Postup!$H$25)=$D$308),Provozování!AD44,IF(YEAR(Postup!$H$25)=$D$308,Provozování!$BL44,0)))</f>
        <v>0</v>
      </c>
      <c r="G343" s="44">
        <v>0</v>
      </c>
      <c r="H343" s="457">
        <f>IF(YEAR(Postup!$H$25)&gt;$D$308,Provozování!AE44,IF(AND(DAY(Postup!$H$25)=31,MONTH(Postup!$H$25)=12,YEAR(Postup!$H$25)=$D$308),Provozování!AE44,IF(YEAR(Postup!$H$25)=$D$308,Provozování!$BM44,0)))</f>
        <v>0</v>
      </c>
      <c r="K343" s="9" t="s">
        <v>46</v>
      </c>
      <c r="L343" s="10" t="s">
        <v>47</v>
      </c>
      <c r="M343" s="11" t="s">
        <v>10</v>
      </c>
      <c r="N343" s="44">
        <v>0</v>
      </c>
      <c r="O343" s="457">
        <f>IF(Provozování!$AF$16="Neaktivní",0,Provozování!AF44)</f>
        <v>0</v>
      </c>
      <c r="P343" s="44">
        <v>0</v>
      </c>
      <c r="Q343" s="457">
        <f>IF(Provozování!$AF$16="Neaktivní",0,Provozování!AG44)</f>
        <v>0</v>
      </c>
      <c r="T343" s="9" t="s">
        <v>46</v>
      </c>
      <c r="U343" s="10" t="s">
        <v>47</v>
      </c>
      <c r="V343" s="11" t="s">
        <v>10</v>
      </c>
      <c r="W343" s="462">
        <v>0</v>
      </c>
      <c r="X343" s="44">
        <f>IF(Provozování!$AF$16="Neaktivní",F343,O343)</f>
        <v>0</v>
      </c>
      <c r="Y343" s="44">
        <f>W343-X343</f>
        <v>0</v>
      </c>
      <c r="Z343" s="462">
        <v>0</v>
      </c>
      <c r="AA343" s="44">
        <f>IF(Provozování!$AF$16="Neaktivní",H343,Q343)</f>
        <v>0</v>
      </c>
      <c r="AB343" s="30">
        <f>Z343-AA343</f>
        <v>0</v>
      </c>
      <c r="AC343" s="146"/>
      <c r="AD343" s="146"/>
      <c r="AE343" s="12" t="s">
        <v>333</v>
      </c>
      <c r="AF343" s="12" t="s">
        <v>339</v>
      </c>
      <c r="AG343" s="270">
        <f>W346-(W334+W336)</f>
        <v>0</v>
      </c>
      <c r="AH343" s="270">
        <f>Z346-(Z334+Z336)</f>
        <v>0</v>
      </c>
      <c r="AK343" s="146"/>
      <c r="AL343" s="146"/>
      <c r="AM343" s="146"/>
      <c r="AN343" s="146"/>
    </row>
    <row r="344" spans="2:40" x14ac:dyDescent="0.25">
      <c r="B344" s="9" t="s">
        <v>48</v>
      </c>
      <c r="C344" s="10" t="s">
        <v>49</v>
      </c>
      <c r="D344" s="11" t="s">
        <v>10</v>
      </c>
      <c r="E344" s="44">
        <v>0</v>
      </c>
      <c r="F344" s="456">
        <f>IF(YEAR(Postup!$H$25)&gt;$D$308,Provozování!AD45,IF(AND(DAY(Postup!$H$25)=31,MONTH(Postup!$H$25)=12,YEAR(Postup!$H$25)=$D$308),Provozování!AD45,IF(YEAR(Postup!$H$25)=$D$308,Provozování!$BL45,0)))</f>
        <v>0</v>
      </c>
      <c r="G344" s="44">
        <v>0</v>
      </c>
      <c r="H344" s="457">
        <f>IF(YEAR(Postup!$H$25)&gt;$D$308,Provozování!AE45,IF(AND(DAY(Postup!$H$25)=31,MONTH(Postup!$H$25)=12,YEAR(Postup!$H$25)=$D$308),Provozování!AE45,IF(YEAR(Postup!$H$25)=$D$308,Provozování!$BM45,0)))</f>
        <v>0</v>
      </c>
      <c r="K344" s="9" t="s">
        <v>48</v>
      </c>
      <c r="L344" s="10" t="s">
        <v>49</v>
      </c>
      <c r="M344" s="11" t="s">
        <v>10</v>
      </c>
      <c r="N344" s="44">
        <v>0</v>
      </c>
      <c r="O344" s="457">
        <f>IF(Provozování!$AF$16="Neaktivní",0,Provozování!AF45)</f>
        <v>0</v>
      </c>
      <c r="P344" s="44">
        <v>0</v>
      </c>
      <c r="Q344" s="457">
        <f>IF(Provozování!$AF$16="Neaktivní",0,Provozování!AG45)</f>
        <v>0</v>
      </c>
      <c r="T344" s="9" t="s">
        <v>48</v>
      </c>
      <c r="U344" s="10" t="s">
        <v>49</v>
      </c>
      <c r="V344" s="11" t="s">
        <v>10</v>
      </c>
      <c r="W344" s="462">
        <v>0</v>
      </c>
      <c r="X344" s="44">
        <f>IF(Provozování!$AF$16="Neaktivní",F344,O344)</f>
        <v>0</v>
      </c>
      <c r="Y344" s="44">
        <f>W344-X344</f>
        <v>0</v>
      </c>
      <c r="Z344" s="462">
        <v>0</v>
      </c>
      <c r="AA344" s="44">
        <f>IF(Provozování!$AF$16="Neaktivní",H344,Q344)</f>
        <v>0</v>
      </c>
      <c r="AB344" s="30">
        <f>Z344-AA344</f>
        <v>0</v>
      </c>
      <c r="AC344" s="146"/>
      <c r="AD344" s="146"/>
      <c r="AE344" s="12" t="s">
        <v>345</v>
      </c>
      <c r="AF344" s="12" t="s">
        <v>346</v>
      </c>
      <c r="AG344" s="270">
        <f>Provozování!AD$102</f>
        <v>0</v>
      </c>
      <c r="AH344" s="270">
        <f>Provozování!AE$102</f>
        <v>0</v>
      </c>
      <c r="AK344" s="146"/>
      <c r="AL344" s="146"/>
      <c r="AM344" s="146"/>
      <c r="AN344" s="146"/>
    </row>
    <row r="345" spans="2:40" x14ac:dyDescent="0.25">
      <c r="B345" s="12" t="s">
        <v>386</v>
      </c>
      <c r="C345" s="12" t="s">
        <v>385</v>
      </c>
      <c r="D345" s="3" t="s">
        <v>10</v>
      </c>
      <c r="E345" s="44"/>
      <c r="F345" s="456">
        <f>Provozování!AD46</f>
        <v>0.02</v>
      </c>
      <c r="G345" s="44"/>
      <c r="H345" s="457">
        <f>Provozování!AE46</f>
        <v>0.02</v>
      </c>
      <c r="K345" s="12" t="s">
        <v>386</v>
      </c>
      <c r="L345" s="12" t="s">
        <v>385</v>
      </c>
      <c r="M345" s="3" t="s">
        <v>10</v>
      </c>
      <c r="N345" s="44"/>
      <c r="O345" s="456">
        <f>IF(Provozování!$AF$16="Neaktivní",0,Provozování!AF46)</f>
        <v>0</v>
      </c>
      <c r="P345" s="44"/>
      <c r="Q345" s="457">
        <f>IF(Provozování!$AF$16="Neaktivní",0,Provozování!AG46)</f>
        <v>0</v>
      </c>
      <c r="T345" s="12" t="s">
        <v>386</v>
      </c>
      <c r="U345" s="12" t="s">
        <v>385</v>
      </c>
      <c r="V345" s="3" t="s">
        <v>10</v>
      </c>
      <c r="W345" s="462">
        <v>0</v>
      </c>
      <c r="X345" s="44"/>
      <c r="Y345" s="44"/>
      <c r="Z345" s="462">
        <v>0</v>
      </c>
      <c r="AA345" s="44"/>
      <c r="AB345" s="30"/>
      <c r="AC345" s="146"/>
      <c r="AD345" s="146"/>
      <c r="AE345" s="435" t="s">
        <v>349</v>
      </c>
      <c r="AF345" s="436"/>
      <c r="AG345" s="1066">
        <f>(AG339*AG340-AG339*AG341)+(AG342-AG343)-AG344</f>
        <v>0</v>
      </c>
      <c r="AH345" s="1066">
        <f>(AH339*AH340-AH339*AH341)+(AH342-AH343)-AH344</f>
        <v>0</v>
      </c>
      <c r="AK345" s="146"/>
      <c r="AL345" s="146"/>
      <c r="AM345" s="146"/>
      <c r="AN345" s="146"/>
    </row>
    <row r="346" spans="2:40" x14ac:dyDescent="0.25">
      <c r="B346" s="9" t="s">
        <v>50</v>
      </c>
      <c r="C346" s="10" t="s">
        <v>391</v>
      </c>
      <c r="D346" s="11" t="s">
        <v>10</v>
      </c>
      <c r="E346" s="41">
        <f>E321+E326+E329+E332+E337+E341+E342+E343+E344</f>
        <v>0</v>
      </c>
      <c r="F346" s="41">
        <f>F321+F326+F329+F332+F337+F341+F342+F343+F344</f>
        <v>0</v>
      </c>
      <c r="G346" s="41">
        <f>G321+G326+G329+G332+G337+G341+G342+G343+G344</f>
        <v>0</v>
      </c>
      <c r="H346" s="86">
        <f>H321+H326+H329+H332+H337+H341+H342+H343+H344</f>
        <v>0</v>
      </c>
      <c r="K346" s="9" t="s">
        <v>50</v>
      </c>
      <c r="L346" s="10" t="s">
        <v>391</v>
      </c>
      <c r="M346" s="11" t="s">
        <v>10</v>
      </c>
      <c r="N346" s="41">
        <f>N321+N326+N329+N332+N337+N341+N342+N343+N344</f>
        <v>0</v>
      </c>
      <c r="O346" s="41">
        <f>O321+O326+O329+O332+O337+O341+O342+O343+O344</f>
        <v>0</v>
      </c>
      <c r="P346" s="41">
        <f>P321+P326+P329+P332+P337+P341+P342+P343+P344</f>
        <v>0</v>
      </c>
      <c r="Q346" s="86">
        <f>Q321+Q326+Q329+Q332+Q337+Q341+Q342+Q343+Q344</f>
        <v>0</v>
      </c>
      <c r="T346" s="9" t="s">
        <v>50</v>
      </c>
      <c r="U346" s="10" t="s">
        <v>391</v>
      </c>
      <c r="V346" s="11" t="s">
        <v>10</v>
      </c>
      <c r="W346" s="41">
        <f t="shared" ref="W346:AB346" si="39">W321+W326+W329+W332+W337+W341+W342+W343+W344</f>
        <v>0</v>
      </c>
      <c r="X346" s="41">
        <f t="shared" si="39"/>
        <v>0</v>
      </c>
      <c r="Y346" s="41">
        <f t="shared" si="39"/>
        <v>0</v>
      </c>
      <c r="Z346" s="41">
        <f t="shared" si="39"/>
        <v>0</v>
      </c>
      <c r="AA346" s="41">
        <f t="shared" si="39"/>
        <v>0</v>
      </c>
      <c r="AB346" s="86">
        <f t="shared" si="39"/>
        <v>0</v>
      </c>
      <c r="AC346" s="146"/>
      <c r="AD346" s="146"/>
      <c r="AE346" s="425" t="s">
        <v>347</v>
      </c>
      <c r="AF346" s="424"/>
      <c r="AG346" s="1067"/>
      <c r="AH346" s="1067"/>
      <c r="AK346" s="146"/>
      <c r="AL346" s="146"/>
      <c r="AM346" s="146"/>
      <c r="AN346" s="146"/>
    </row>
    <row r="347" spans="2:40" hidden="1" x14ac:dyDescent="0.25">
      <c r="B347" s="12" t="s">
        <v>389</v>
      </c>
      <c r="C347" s="13" t="s">
        <v>96</v>
      </c>
      <c r="D347" s="3" t="s">
        <v>10</v>
      </c>
      <c r="E347" s="329">
        <v>0</v>
      </c>
      <c r="F347" s="458">
        <f>F271</f>
        <v>0</v>
      </c>
      <c r="G347" s="329">
        <v>0</v>
      </c>
      <c r="H347" s="460">
        <f>H271</f>
        <v>0</v>
      </c>
      <c r="K347" s="12" t="s">
        <v>389</v>
      </c>
      <c r="L347" s="13" t="s">
        <v>96</v>
      </c>
      <c r="M347" s="3" t="s">
        <v>10</v>
      </c>
      <c r="N347" s="329">
        <v>0</v>
      </c>
      <c r="O347" s="329">
        <f>IF(Provozování!$V$16="Neaktivní",0,F347)</f>
        <v>0</v>
      </c>
      <c r="P347" s="329">
        <v>0</v>
      </c>
      <c r="Q347" s="330">
        <f>IF(Provozování!$V$16="Neaktivní",0,H347)</f>
        <v>0</v>
      </c>
      <c r="T347" s="42" t="s">
        <v>389</v>
      </c>
      <c r="U347" s="13" t="s">
        <v>96</v>
      </c>
      <c r="V347" s="3" t="s">
        <v>10</v>
      </c>
      <c r="W347" s="458">
        <v>0</v>
      </c>
      <c r="X347" s="329">
        <f>F347</f>
        <v>0</v>
      </c>
      <c r="Y347" s="329">
        <f>W347-X347</f>
        <v>0</v>
      </c>
      <c r="Z347" s="458">
        <v>0</v>
      </c>
      <c r="AA347" s="329">
        <f>H347</f>
        <v>0</v>
      </c>
      <c r="AB347" s="330">
        <f>Z347-AA347</f>
        <v>0</v>
      </c>
      <c r="AC347" s="146"/>
      <c r="AD347" s="146"/>
      <c r="AK347" s="146"/>
      <c r="AL347" s="146"/>
      <c r="AM347" s="146"/>
      <c r="AN347" s="146"/>
    </row>
    <row r="348" spans="2:40" hidden="1" x14ac:dyDescent="0.25">
      <c r="B348" s="12" t="s">
        <v>389</v>
      </c>
      <c r="C348" s="13" t="s">
        <v>97</v>
      </c>
      <c r="D348" s="3" t="s">
        <v>10</v>
      </c>
      <c r="E348" s="329">
        <v>0</v>
      </c>
      <c r="F348" s="458">
        <f>F272</f>
        <v>0</v>
      </c>
      <c r="G348" s="329">
        <v>0</v>
      </c>
      <c r="H348" s="460">
        <f>H272</f>
        <v>0</v>
      </c>
      <c r="K348" s="12" t="s">
        <v>389</v>
      </c>
      <c r="L348" s="13" t="s">
        <v>97</v>
      </c>
      <c r="M348" s="3" t="s">
        <v>10</v>
      </c>
      <c r="N348" s="329">
        <v>0</v>
      </c>
      <c r="O348" s="329">
        <f>IF(Provozování!$V$16="Neaktivní",0,F348)</f>
        <v>0</v>
      </c>
      <c r="P348" s="329">
        <v>0</v>
      </c>
      <c r="Q348" s="330">
        <f>IF(Provozování!$V$16="Neaktivní",0,H348)</f>
        <v>0</v>
      </c>
      <c r="T348" s="12" t="s">
        <v>389</v>
      </c>
      <c r="U348" s="13" t="s">
        <v>97</v>
      </c>
      <c r="V348" s="3" t="s">
        <v>10</v>
      </c>
      <c r="W348" s="458">
        <v>0</v>
      </c>
      <c r="X348" s="329">
        <f>F348</f>
        <v>0</v>
      </c>
      <c r="Y348" s="329">
        <f>W348-X348</f>
        <v>0</v>
      </c>
      <c r="Z348" s="458">
        <v>0</v>
      </c>
      <c r="AA348" s="329">
        <f>H348</f>
        <v>0</v>
      </c>
      <c r="AB348" s="330">
        <f>Z348-AA348</f>
        <v>0</v>
      </c>
      <c r="AC348" s="146"/>
      <c r="AD348" s="146"/>
      <c r="AK348" s="146"/>
      <c r="AL348" s="146"/>
      <c r="AM348" s="146"/>
      <c r="AN348" s="146"/>
    </row>
    <row r="349" spans="2:40" x14ac:dyDescent="0.25">
      <c r="B349" s="12" t="s">
        <v>51</v>
      </c>
      <c r="C349" s="13" t="s">
        <v>54</v>
      </c>
      <c r="D349" s="3" t="s">
        <v>55</v>
      </c>
      <c r="E349" s="331">
        <v>0</v>
      </c>
      <c r="F349" s="459">
        <f>F273</f>
        <v>0</v>
      </c>
      <c r="G349" s="331">
        <v>0</v>
      </c>
      <c r="H349" s="459">
        <f>H273</f>
        <v>0</v>
      </c>
      <c r="K349" s="12" t="s">
        <v>51</v>
      </c>
      <c r="L349" s="13" t="s">
        <v>54</v>
      </c>
      <c r="M349" s="3" t="s">
        <v>55</v>
      </c>
      <c r="N349" s="331">
        <v>0</v>
      </c>
      <c r="O349" s="331">
        <f>IF(Provozování!$V$16="Neaktivní",0,F349)</f>
        <v>0</v>
      </c>
      <c r="P349" s="331">
        <v>0</v>
      </c>
      <c r="Q349" s="332">
        <f>IF(Provozování!$V$16="Neaktivní",0,H349)</f>
        <v>0</v>
      </c>
      <c r="T349" s="12" t="s">
        <v>51</v>
      </c>
      <c r="U349" s="13" t="s">
        <v>54</v>
      </c>
      <c r="V349" s="3" t="s">
        <v>55</v>
      </c>
      <c r="W349" s="466">
        <v>0</v>
      </c>
      <c r="X349" s="331">
        <f>F349</f>
        <v>0</v>
      </c>
      <c r="Y349" s="332">
        <f>W349-X349</f>
        <v>0</v>
      </c>
      <c r="Z349" s="466">
        <v>0</v>
      </c>
      <c r="AA349" s="331">
        <f>H349</f>
        <v>0</v>
      </c>
      <c r="AB349" s="332">
        <f>Z349-AA349</f>
        <v>0</v>
      </c>
      <c r="AC349" s="146"/>
      <c r="AD349" s="146"/>
      <c r="AE349" s="1068" t="s">
        <v>337</v>
      </c>
      <c r="AF349" s="1069"/>
      <c r="AG349" s="1072" t="str">
        <f>IF(AG345&gt;0,"úspora",IF(AG345&lt;0,"ztráta provozovatele","-"))</f>
        <v>-</v>
      </c>
      <c r="AH349" s="1072" t="str">
        <f>IF(AH345&gt;0,"úspora",IF(AH345&lt;0,"ztráta provozovatele","-"))</f>
        <v>-</v>
      </c>
      <c r="AK349" s="146"/>
      <c r="AL349" s="146"/>
      <c r="AM349" s="146"/>
      <c r="AN349" s="146"/>
    </row>
    <row r="350" spans="2:40" x14ac:dyDescent="0.25">
      <c r="B350" s="12" t="s">
        <v>52</v>
      </c>
      <c r="C350" s="13" t="s">
        <v>57</v>
      </c>
      <c r="D350" s="3" t="s">
        <v>58</v>
      </c>
      <c r="E350" s="44">
        <v>0</v>
      </c>
      <c r="F350" s="44">
        <f>IF(YEAR(Postup!$H$25)&gt;$D$308,Provozování!AD49,IF(AND(DAY(Postup!$H$25)=31,MONTH(Postup!$H$25)=12,YEAR(Postup!$H$25)=$D$308),Provozování!AD49,IF(YEAR(Postup!$H$25)=$D$308,Provozování!$BL49,0)))</f>
        <v>0</v>
      </c>
      <c r="G350" s="44">
        <v>0</v>
      </c>
      <c r="H350" s="334">
        <v>0</v>
      </c>
      <c r="K350" s="12" t="s">
        <v>52</v>
      </c>
      <c r="L350" s="13" t="s">
        <v>57</v>
      </c>
      <c r="M350" s="3" t="s">
        <v>58</v>
      </c>
      <c r="N350" s="44">
        <v>0</v>
      </c>
      <c r="O350" s="44">
        <f>IF(Provozování!$AF$16="Neaktivní",0,Provozování!AF49)</f>
        <v>0</v>
      </c>
      <c r="P350" s="44">
        <v>0</v>
      </c>
      <c r="Q350" s="334">
        <v>0</v>
      </c>
      <c r="T350" s="12" t="s">
        <v>52</v>
      </c>
      <c r="U350" s="13" t="s">
        <v>57</v>
      </c>
      <c r="V350" s="3" t="s">
        <v>58</v>
      </c>
      <c r="W350" s="462">
        <v>0</v>
      </c>
      <c r="X350" s="44">
        <f>IF(Provozování!$AF$16="Neaktivní",F350,O350)</f>
        <v>0</v>
      </c>
      <c r="Y350" s="44">
        <f>W350-X350</f>
        <v>0</v>
      </c>
      <c r="Z350" s="337">
        <v>0</v>
      </c>
      <c r="AA350" s="337">
        <v>0</v>
      </c>
      <c r="AB350" s="334">
        <v>0</v>
      </c>
      <c r="AC350" s="146"/>
      <c r="AD350" s="146"/>
      <c r="AE350" s="1070"/>
      <c r="AF350" s="1071"/>
      <c r="AG350" s="1000"/>
      <c r="AH350" s="1000"/>
      <c r="AK350" s="146"/>
      <c r="AL350" s="146"/>
      <c r="AM350" s="146"/>
      <c r="AN350" s="146"/>
    </row>
    <row r="351" spans="2:40" x14ac:dyDescent="0.25">
      <c r="B351" s="12" t="s">
        <v>53</v>
      </c>
      <c r="C351" s="13" t="s">
        <v>60</v>
      </c>
      <c r="D351" s="3" t="s">
        <v>58</v>
      </c>
      <c r="E351" s="44">
        <v>0</v>
      </c>
      <c r="F351" s="44">
        <f>IF(YEAR(Postup!$H$25)&gt;$D$308,Provozování!AD50,IF(AND(DAY(Postup!$H$25)=31,MONTH(Postup!$H$25)=12,YEAR(Postup!$H$25)=$D$308),Provozování!AD50,IF(YEAR(Postup!$H$25)=$D$308,Provozování!$BL50,0)))</f>
        <v>0</v>
      </c>
      <c r="G351" s="44">
        <v>0</v>
      </c>
      <c r="H351" s="334">
        <v>0</v>
      </c>
      <c r="K351" s="12" t="s">
        <v>53</v>
      </c>
      <c r="L351" s="13" t="s">
        <v>60</v>
      </c>
      <c r="M351" s="3" t="s">
        <v>58</v>
      </c>
      <c r="N351" s="44">
        <v>0</v>
      </c>
      <c r="O351" s="44">
        <f>IF(Provozování!$AF$16="Neaktivní",0,Provozování!AF50)</f>
        <v>0</v>
      </c>
      <c r="P351" s="44">
        <v>0</v>
      </c>
      <c r="Q351" s="334">
        <v>0</v>
      </c>
      <c r="T351" s="12" t="s">
        <v>53</v>
      </c>
      <c r="U351" s="13" t="s">
        <v>60</v>
      </c>
      <c r="V351" s="3" t="s">
        <v>58</v>
      </c>
      <c r="W351" s="462">
        <v>0</v>
      </c>
      <c r="X351" s="44">
        <f>IF(Provozování!$AF$16="Neaktivní",F351,O351)</f>
        <v>0</v>
      </c>
      <c r="Y351" s="44">
        <f>W351-X351</f>
        <v>0</v>
      </c>
      <c r="Z351" s="337">
        <v>0</v>
      </c>
      <c r="AA351" s="337">
        <v>0</v>
      </c>
      <c r="AB351" s="334">
        <v>0</v>
      </c>
      <c r="AC351" s="146"/>
      <c r="AD351" s="146"/>
      <c r="AE351" s="414" t="s">
        <v>343</v>
      </c>
      <c r="AF351" s="414"/>
      <c r="AG351" s="344">
        <f>IF(AG345&gt;0,AG345/AG342,0)</f>
        <v>0</v>
      </c>
      <c r="AH351" s="344">
        <f>IF(AH345&gt;0,AH345/AH342,0)</f>
        <v>0</v>
      </c>
      <c r="AK351" s="146"/>
      <c r="AL351" s="146"/>
      <c r="AM351" s="146"/>
      <c r="AN351" s="146"/>
    </row>
    <row r="352" spans="2:40" x14ac:dyDescent="0.25">
      <c r="B352" s="12" t="s">
        <v>56</v>
      </c>
      <c r="C352" s="13" t="s">
        <v>62</v>
      </c>
      <c r="D352" s="3" t="s">
        <v>58</v>
      </c>
      <c r="E352" s="44">
        <v>0</v>
      </c>
      <c r="F352" s="337">
        <v>0</v>
      </c>
      <c r="G352" s="44">
        <v>0</v>
      </c>
      <c r="H352" s="30">
        <f>IF(YEAR(Postup!$H$25)&gt;$D$308,Provozování!AE51,IF(AND(DAY(Postup!$H$25)=31,MONTH(Postup!$H$25)=12,YEAR(Postup!$H$25)=$D$308),Provozování!AE51,IF(YEAR(Postup!$H$25)=$D$308,Provozování!$BM51,0)))</f>
        <v>0</v>
      </c>
      <c r="K352" s="12" t="s">
        <v>56</v>
      </c>
      <c r="L352" s="13" t="s">
        <v>62</v>
      </c>
      <c r="M352" s="3" t="s">
        <v>58</v>
      </c>
      <c r="N352" s="44">
        <v>0</v>
      </c>
      <c r="O352" s="337">
        <v>0</v>
      </c>
      <c r="P352" s="44">
        <v>0</v>
      </c>
      <c r="Q352" s="53">
        <f>IF(Provozování!$AF$16="Neaktivní",0,Provozování!AG51)</f>
        <v>0</v>
      </c>
      <c r="T352" s="12" t="s">
        <v>56</v>
      </c>
      <c r="U352" s="13" t="s">
        <v>62</v>
      </c>
      <c r="V352" s="3" t="s">
        <v>58</v>
      </c>
      <c r="W352" s="337">
        <v>0</v>
      </c>
      <c r="X352" s="337">
        <v>0</v>
      </c>
      <c r="Y352" s="337">
        <v>0</v>
      </c>
      <c r="Z352" s="462">
        <v>0</v>
      </c>
      <c r="AA352" s="44">
        <f>IF(Provozování!$AF$16="Neaktivní",H352,Q352)</f>
        <v>0</v>
      </c>
      <c r="AB352" s="30">
        <f t="shared" ref="AB352:AB357" si="40">Z352-AA352</f>
        <v>0</v>
      </c>
      <c r="AC352" s="146"/>
      <c r="AD352" s="146"/>
      <c r="AE352" s="437" t="s">
        <v>323</v>
      </c>
      <c r="AF352" s="437"/>
      <c r="AG352" s="715"/>
      <c r="AH352" s="715"/>
      <c r="AK352" s="146"/>
      <c r="AL352" s="146"/>
      <c r="AM352" s="146"/>
      <c r="AN352" s="146"/>
    </row>
    <row r="353" spans="2:40" x14ac:dyDescent="0.25">
      <c r="B353" s="12" t="s">
        <v>59</v>
      </c>
      <c r="C353" s="13" t="s">
        <v>60</v>
      </c>
      <c r="D353" s="3" t="s">
        <v>58</v>
      </c>
      <c r="E353" s="44">
        <v>0</v>
      </c>
      <c r="F353" s="337">
        <v>0</v>
      </c>
      <c r="G353" s="44">
        <v>0</v>
      </c>
      <c r="H353" s="30">
        <f>IF(YEAR(Postup!$H$25)&gt;$D$308,Provozování!AE52,IF(AND(DAY(Postup!$H$25)=31,MONTH(Postup!$H$25)=12,YEAR(Postup!$H$25)=$D$308),Provozování!AE52,IF(YEAR(Postup!$H$25)=$D$308,Provozování!$BM52,0)))</f>
        <v>0</v>
      </c>
      <c r="K353" s="12" t="s">
        <v>59</v>
      </c>
      <c r="L353" s="13" t="s">
        <v>60</v>
      </c>
      <c r="M353" s="3" t="s">
        <v>58</v>
      </c>
      <c r="N353" s="44">
        <v>0</v>
      </c>
      <c r="O353" s="337">
        <v>0</v>
      </c>
      <c r="P353" s="44">
        <v>0</v>
      </c>
      <c r="Q353" s="53">
        <f>IF(Provozování!$AF$16="Neaktivní",0,Provozování!AG52)</f>
        <v>0</v>
      </c>
      <c r="T353" s="12" t="s">
        <v>59</v>
      </c>
      <c r="U353" s="13" t="s">
        <v>60</v>
      </c>
      <c r="V353" s="3" t="s">
        <v>58</v>
      </c>
      <c r="W353" s="337">
        <v>0</v>
      </c>
      <c r="X353" s="337">
        <v>0</v>
      </c>
      <c r="Y353" s="337">
        <v>0</v>
      </c>
      <c r="Z353" s="462">
        <v>0</v>
      </c>
      <c r="AA353" s="44">
        <f>IF(Provozování!$AF$16="Neaktivní",H353,Q353)</f>
        <v>0</v>
      </c>
      <c r="AB353" s="30">
        <f t="shared" si="40"/>
        <v>0</v>
      </c>
      <c r="AC353" s="146"/>
      <c r="AD353" s="146"/>
      <c r="AE353" s="438" t="s">
        <v>334</v>
      </c>
      <c r="AF353" s="438"/>
      <c r="AG353" s="712">
        <f>IF(AG351&gt;0,AG342*AI353*0.5,0)</f>
        <v>0</v>
      </c>
      <c r="AH353" s="712">
        <f>IF(AH351&gt;0,AH342*AJ353*0.5,0)</f>
        <v>0</v>
      </c>
      <c r="AI353" s="345">
        <f>IF(AG351&gt;0.05,0.05,AG351)</f>
        <v>0</v>
      </c>
      <c r="AJ353" s="345">
        <f>IF(AH351&gt;0.05,0.05,AH351)</f>
        <v>0</v>
      </c>
      <c r="AK353" s="146"/>
      <c r="AL353" s="146"/>
      <c r="AM353" s="146"/>
      <c r="AN353" s="146"/>
    </row>
    <row r="354" spans="2:40" x14ac:dyDescent="0.25">
      <c r="B354" s="12" t="s">
        <v>61</v>
      </c>
      <c r="C354" s="13" t="s">
        <v>65</v>
      </c>
      <c r="D354" s="3" t="s">
        <v>58</v>
      </c>
      <c r="E354" s="44">
        <v>0</v>
      </c>
      <c r="F354" s="337">
        <v>0</v>
      </c>
      <c r="G354" s="44">
        <v>0</v>
      </c>
      <c r="H354" s="30">
        <f>IF(YEAR(Postup!$H$25)&gt;$D$308,Provozování!AE53,IF(AND(DAY(Postup!$H$25)=31,MONTH(Postup!$H$25)=12,YEAR(Postup!$H$25)=$D$308),Provozování!AE53,IF(YEAR(Postup!$H$25)=$D$308,Provozování!$BM53,0)))</f>
        <v>0</v>
      </c>
      <c r="K354" s="12" t="s">
        <v>61</v>
      </c>
      <c r="L354" s="13" t="s">
        <v>65</v>
      </c>
      <c r="M354" s="3" t="s">
        <v>58</v>
      </c>
      <c r="N354" s="44">
        <v>0</v>
      </c>
      <c r="O354" s="337">
        <v>0</v>
      </c>
      <c r="P354" s="44">
        <v>0</v>
      </c>
      <c r="Q354" s="53">
        <f>IF(Provozování!$AF$16="Neaktivní",0,Provozování!AG53)</f>
        <v>0</v>
      </c>
      <c r="T354" s="12" t="s">
        <v>61</v>
      </c>
      <c r="U354" s="13" t="s">
        <v>65</v>
      </c>
      <c r="V354" s="3" t="s">
        <v>58</v>
      </c>
      <c r="W354" s="337">
        <v>0</v>
      </c>
      <c r="X354" s="337">
        <v>0</v>
      </c>
      <c r="Y354" s="337">
        <v>0</v>
      </c>
      <c r="Z354" s="462">
        <v>0</v>
      </c>
      <c r="AA354" s="44">
        <f>IF(Provozování!$AF$16="Neaktivní",H354,Q354)</f>
        <v>0</v>
      </c>
      <c r="AB354" s="30">
        <f t="shared" si="40"/>
        <v>0</v>
      </c>
      <c r="AC354" s="146"/>
      <c r="AD354" s="146"/>
      <c r="AE354" s="415" t="s">
        <v>335</v>
      </c>
      <c r="AF354" s="415"/>
      <c r="AG354" s="270">
        <f>IF(AI354&gt;0,AG342*(AI354-0.05)*0.8,0)</f>
        <v>0</v>
      </c>
      <c r="AH354" s="270">
        <f>IF(AJ354&gt;0,AH342*(AJ354-0.05)*0.8,0)</f>
        <v>0</v>
      </c>
      <c r="AI354" s="345">
        <f>IF(AND(AG351&gt;0.05,AG351&lt;=0.1),AG351,IF(AG351&lt;=0.05,0,0.1))</f>
        <v>0</v>
      </c>
      <c r="AJ354" s="345">
        <f>IF(AND(AH351&gt;0.05,AH351&lt;=0.1),AH351,IF(AH351&lt;=0.05,0,0.1))</f>
        <v>0</v>
      </c>
      <c r="AK354" s="146"/>
      <c r="AL354" s="146"/>
      <c r="AM354" s="146"/>
      <c r="AN354" s="146"/>
    </row>
    <row r="355" spans="2:40" x14ac:dyDescent="0.25">
      <c r="B355" s="12" t="s">
        <v>63</v>
      </c>
      <c r="C355" s="13" t="s">
        <v>67</v>
      </c>
      <c r="D355" s="3" t="s">
        <v>58</v>
      </c>
      <c r="E355" s="44">
        <v>0</v>
      </c>
      <c r="F355" s="337">
        <v>0</v>
      </c>
      <c r="G355" s="44">
        <v>0</v>
      </c>
      <c r="H355" s="30">
        <f>IF(YEAR(Postup!$H$25)&gt;$D$308,Provozování!AE54,IF(AND(DAY(Postup!$H$25)=31,MONTH(Postup!$H$25)=12,YEAR(Postup!$H$25)=$D$308),Provozování!AE54,IF(YEAR(Postup!$H$25)=$D$308,Provozování!$BM54,0)))</f>
        <v>0</v>
      </c>
      <c r="K355" s="12" t="s">
        <v>63</v>
      </c>
      <c r="L355" s="13" t="s">
        <v>67</v>
      </c>
      <c r="M355" s="3" t="s">
        <v>58</v>
      </c>
      <c r="N355" s="44">
        <v>0</v>
      </c>
      <c r="O355" s="337">
        <v>0</v>
      </c>
      <c r="P355" s="44">
        <v>0</v>
      </c>
      <c r="Q355" s="53">
        <f>IF(Provozování!$AF$16="Neaktivní",0,Provozování!AG54)</f>
        <v>0</v>
      </c>
      <c r="T355" s="12" t="s">
        <v>63</v>
      </c>
      <c r="U355" s="13" t="s">
        <v>67</v>
      </c>
      <c r="V355" s="3" t="s">
        <v>58</v>
      </c>
      <c r="W355" s="337">
        <v>0</v>
      </c>
      <c r="X355" s="337">
        <v>0</v>
      </c>
      <c r="Y355" s="337">
        <v>0</v>
      </c>
      <c r="Z355" s="462">
        <v>0</v>
      </c>
      <c r="AA355" s="44">
        <f>IF(Provozování!$AF$16="Neaktivní",H355,Q355)</f>
        <v>0</v>
      </c>
      <c r="AB355" s="30">
        <f t="shared" si="40"/>
        <v>0</v>
      </c>
      <c r="AC355" s="146"/>
      <c r="AD355" s="146"/>
      <c r="AE355" s="415" t="s">
        <v>336</v>
      </c>
      <c r="AF355" s="415"/>
      <c r="AG355" s="270">
        <f>IF(AI355&gt;0,AG342*(AI355-0.1)*1,0)</f>
        <v>0</v>
      </c>
      <c r="AH355" s="270">
        <f>IF(AJ355&gt;0,AH342*(AJ355-0.1)*1,0)</f>
        <v>0</v>
      </c>
      <c r="AI355" s="345">
        <f>IF(AG351&gt;0.1,AG351,0)</f>
        <v>0</v>
      </c>
      <c r="AJ355" s="345">
        <f>IF(AH351&gt;0.1,AH351,0)</f>
        <v>0</v>
      </c>
      <c r="AK355" s="146"/>
      <c r="AL355" s="146"/>
      <c r="AM355" s="146"/>
      <c r="AN355" s="146"/>
    </row>
    <row r="356" spans="2:40" x14ac:dyDescent="0.25">
      <c r="B356" s="12" t="s">
        <v>64</v>
      </c>
      <c r="C356" s="13" t="s">
        <v>68</v>
      </c>
      <c r="D356" s="3" t="s">
        <v>58</v>
      </c>
      <c r="E356" s="44">
        <v>0</v>
      </c>
      <c r="F356" s="44">
        <f>IF(YEAR(Postup!$H$25)&gt;$D$308,Provozování!AD55,IF(AND(DAY(Postup!$H$25)=31,MONTH(Postup!$H$25)=12,YEAR(Postup!$H$25)=$D$308),Provozování!AD55,IF(YEAR(Postup!$H$25)=$D$308,Provozování!$BL55,0)))</f>
        <v>0</v>
      </c>
      <c r="G356" s="44">
        <v>0</v>
      </c>
      <c r="H356" s="30">
        <f>IF(YEAR(Postup!$H$25)&gt;$D$308,Provozování!AE55,IF(AND(DAY(Postup!$H$25)=31,MONTH(Postup!$H$25)=12,YEAR(Postup!$H$25)=$D$308),Provozování!AE55,IF(YEAR(Postup!$H$25)=$D$308,Provozování!$BM55,0)))</f>
        <v>0</v>
      </c>
      <c r="K356" s="12" t="s">
        <v>64</v>
      </c>
      <c r="L356" s="13" t="s">
        <v>68</v>
      </c>
      <c r="M356" s="3" t="s">
        <v>58</v>
      </c>
      <c r="N356" s="44">
        <v>0</v>
      </c>
      <c r="O356" s="44">
        <f>IF(Provozování!$AF$16="Neaktivní",0,Provozování!AF55)</f>
        <v>0</v>
      </c>
      <c r="P356" s="44">
        <v>0</v>
      </c>
      <c r="Q356" s="53">
        <f>IF(Provozování!$AF$16="Neaktivní",0,Provozování!AG55)</f>
        <v>0</v>
      </c>
      <c r="T356" s="12" t="s">
        <v>64</v>
      </c>
      <c r="U356" s="13" t="s">
        <v>68</v>
      </c>
      <c r="V356" s="3" t="s">
        <v>58</v>
      </c>
      <c r="W356" s="256">
        <v>0</v>
      </c>
      <c r="X356" s="44">
        <f>IF(Provozování!$AF$16="Neaktivní",F356,O356)</f>
        <v>0</v>
      </c>
      <c r="Y356" s="44">
        <f>W356-X356</f>
        <v>0</v>
      </c>
      <c r="Z356" s="462">
        <v>0</v>
      </c>
      <c r="AA356" s="44">
        <f>IF(Provozování!$AF$16="Neaktivní",H356,Q356)</f>
        <v>0</v>
      </c>
      <c r="AB356" s="30">
        <f t="shared" si="40"/>
        <v>0</v>
      </c>
      <c r="AC356" s="146"/>
      <c r="AD356" s="146"/>
      <c r="AE356" s="413" t="s">
        <v>324</v>
      </c>
      <c r="AF356" s="413"/>
      <c r="AG356" s="346">
        <f>SUM(AG353:AG355)</f>
        <v>0</v>
      </c>
      <c r="AH356" s="346">
        <f>SUM(AH353:AH355)</f>
        <v>0</v>
      </c>
      <c r="AK356" s="146"/>
      <c r="AL356" s="146"/>
      <c r="AM356" s="146"/>
      <c r="AN356" s="146"/>
    </row>
    <row r="357" spans="2:40" x14ac:dyDescent="0.25">
      <c r="B357" s="12" t="s">
        <v>66</v>
      </c>
      <c r="C357" s="13" t="s">
        <v>69</v>
      </c>
      <c r="D357" s="3" t="s">
        <v>58</v>
      </c>
      <c r="E357" s="44">
        <v>0</v>
      </c>
      <c r="F357" s="44">
        <f>IF(YEAR(Postup!$H$25)&gt;$D$308,Provozování!AD56,IF(AND(DAY(Postup!$H$25)=31,MONTH(Postup!$H$25)=12,YEAR(Postup!$H$25)=$D$308),Provozování!AD56,IF(YEAR(Postup!$H$25)=$D$308,Provozování!$BL56,0)))</f>
        <v>0</v>
      </c>
      <c r="G357" s="44">
        <v>0</v>
      </c>
      <c r="H357" s="30">
        <f>IF(YEAR(Postup!$H$25)&gt;$D$308,Provozování!AE56,IF(AND(DAY(Postup!$H$25)=31,MONTH(Postup!$H$25)=12,YEAR(Postup!$H$25)=$D$308),Provozování!AE56,IF(YEAR(Postup!$H$25)=$D$308,Provozování!$BM56,0)))</f>
        <v>0</v>
      </c>
      <c r="K357" s="12" t="s">
        <v>66</v>
      </c>
      <c r="L357" s="13" t="s">
        <v>69</v>
      </c>
      <c r="M357" s="3" t="s">
        <v>58</v>
      </c>
      <c r="N357" s="44">
        <v>0</v>
      </c>
      <c r="O357" s="44">
        <f>IF(Provozování!$AF$16="Neaktivní",0,Provozování!AF56)</f>
        <v>0</v>
      </c>
      <c r="P357" s="44">
        <v>0</v>
      </c>
      <c r="Q357" s="30">
        <f>IF(Provozování!$AF$16="Neaktivní",0,Provozování!AG56)</f>
        <v>0</v>
      </c>
      <c r="T357" s="12" t="s">
        <v>66</v>
      </c>
      <c r="U357" s="13" t="s">
        <v>69</v>
      </c>
      <c r="V357" s="3" t="s">
        <v>58</v>
      </c>
      <c r="W357" s="256">
        <v>0</v>
      </c>
      <c r="X357" s="44">
        <f>IF(Provozování!$AF$16="Neaktivní",F357,O357)</f>
        <v>0</v>
      </c>
      <c r="Y357" s="44">
        <f>W357-X357</f>
        <v>0</v>
      </c>
      <c r="Z357" s="462">
        <v>0</v>
      </c>
      <c r="AA357" s="44">
        <f>IF(Provozování!$AF$16="Neaktivní",H357,Q357)</f>
        <v>0</v>
      </c>
      <c r="AB357" s="30">
        <f t="shared" si="40"/>
        <v>0</v>
      </c>
      <c r="AC357" s="146"/>
      <c r="AD357" s="146"/>
      <c r="AE357" s="146"/>
      <c r="AF357" s="146"/>
      <c r="AG357" s="146"/>
      <c r="AH357" s="146"/>
      <c r="AI357" s="146"/>
      <c r="AJ357" s="146"/>
      <c r="AK357" s="146"/>
      <c r="AL357" s="146"/>
      <c r="AM357" s="146"/>
      <c r="AN357" s="146"/>
    </row>
    <row r="358" spans="2:40" x14ac:dyDescent="0.25">
      <c r="B358" s="1"/>
      <c r="C358" s="1"/>
      <c r="D358" s="1"/>
      <c r="E358" s="1"/>
      <c r="F358" s="347"/>
      <c r="G358" s="1"/>
      <c r="H358" s="347"/>
      <c r="K358" s="1"/>
      <c r="L358" s="1"/>
      <c r="M358" s="1"/>
      <c r="N358" s="1"/>
      <c r="O358" s="1"/>
      <c r="P358" s="1"/>
      <c r="Q358" s="1"/>
      <c r="T358" s="1"/>
      <c r="U358" s="1"/>
      <c r="V358" s="1"/>
      <c r="W358" s="1"/>
      <c r="X358" s="1"/>
      <c r="Y358" s="1"/>
      <c r="Z358" s="1"/>
      <c r="AA358" s="1"/>
      <c r="AB358" s="1"/>
      <c r="AC358" s="146"/>
      <c r="AD358" s="146"/>
      <c r="AE358" s="146"/>
      <c r="AF358" s="146"/>
      <c r="AG358" s="146"/>
      <c r="AH358" s="146"/>
      <c r="AI358" s="146"/>
      <c r="AJ358" s="146"/>
      <c r="AK358" s="146"/>
      <c r="AL358" s="146"/>
      <c r="AM358" s="146"/>
      <c r="AN358" s="146"/>
    </row>
    <row r="359" spans="2:40" x14ac:dyDescent="0.25">
      <c r="B359" s="1052" t="s">
        <v>5</v>
      </c>
      <c r="C359" s="884" t="s">
        <v>70</v>
      </c>
      <c r="D359" s="868"/>
      <c r="E359" s="1082"/>
      <c r="F359" s="1083"/>
      <c r="G359" s="868"/>
      <c r="H359" s="869"/>
      <c r="K359" s="1052" t="s">
        <v>5</v>
      </c>
      <c r="L359" s="884" t="s">
        <v>70</v>
      </c>
      <c r="M359" s="868"/>
      <c r="N359" s="1082"/>
      <c r="O359" s="1083"/>
      <c r="P359" s="868"/>
      <c r="Q359" s="869"/>
      <c r="T359" s="1098" t="s">
        <v>5</v>
      </c>
      <c r="U359" s="884" t="s">
        <v>70</v>
      </c>
      <c r="V359" s="868"/>
      <c r="W359" s="1082"/>
      <c r="X359" s="1082"/>
      <c r="Y359" s="1083"/>
      <c r="Z359" s="868"/>
      <c r="AA359" s="868"/>
      <c r="AB359" s="869"/>
      <c r="AC359" s="146"/>
      <c r="AD359" s="146"/>
      <c r="AE359" s="146"/>
      <c r="AF359" s="146"/>
      <c r="AG359" s="146"/>
      <c r="AH359" s="146"/>
      <c r="AI359" s="146"/>
      <c r="AJ359" s="146"/>
      <c r="AK359" s="146"/>
      <c r="AL359" s="146"/>
      <c r="AM359" s="146"/>
      <c r="AN359" s="146"/>
    </row>
    <row r="360" spans="2:40" x14ac:dyDescent="0.25">
      <c r="B360" s="1053"/>
      <c r="C360" s="1052" t="s">
        <v>71</v>
      </c>
      <c r="D360" s="1065" t="s">
        <v>133</v>
      </c>
      <c r="E360" s="1085" t="s">
        <v>102</v>
      </c>
      <c r="F360" s="1086"/>
      <c r="G360" s="85" t="s">
        <v>3</v>
      </c>
      <c r="H360" s="23" t="s">
        <v>4</v>
      </c>
      <c r="K360" s="1053"/>
      <c r="L360" s="5" t="s">
        <v>71</v>
      </c>
      <c r="M360" s="1065" t="s">
        <v>133</v>
      </c>
      <c r="N360" s="1085" t="s">
        <v>102</v>
      </c>
      <c r="O360" s="1086"/>
      <c r="P360" s="85" t="s">
        <v>3</v>
      </c>
      <c r="Q360" s="23" t="s">
        <v>4</v>
      </c>
      <c r="T360" s="1099"/>
      <c r="U360" s="1052" t="s">
        <v>71</v>
      </c>
      <c r="V360" s="1065" t="s">
        <v>133</v>
      </c>
      <c r="W360" s="1085" t="s">
        <v>102</v>
      </c>
      <c r="X360" s="1086"/>
      <c r="Y360" s="1085" t="s">
        <v>3</v>
      </c>
      <c r="Z360" s="1101"/>
      <c r="AA360" s="1102" t="s">
        <v>4</v>
      </c>
      <c r="AB360" s="1102"/>
      <c r="AC360" s="146"/>
      <c r="AD360" s="146"/>
      <c r="AE360" s="146"/>
      <c r="AF360" s="146"/>
      <c r="AG360" s="146"/>
      <c r="AH360" s="146"/>
      <c r="AI360" s="146"/>
      <c r="AJ360" s="146"/>
      <c r="AK360" s="146"/>
      <c r="AL360" s="146"/>
      <c r="AM360" s="146"/>
      <c r="AN360" s="146"/>
    </row>
    <row r="361" spans="2:40" x14ac:dyDescent="0.25">
      <c r="B361" s="1054"/>
      <c r="C361" s="1054"/>
      <c r="D361" s="1084"/>
      <c r="E361" s="1087"/>
      <c r="F361" s="1088"/>
      <c r="G361" s="26" t="s">
        <v>7</v>
      </c>
      <c r="H361" s="24" t="s">
        <v>7</v>
      </c>
      <c r="K361" s="1054"/>
      <c r="L361" s="8"/>
      <c r="M361" s="1084"/>
      <c r="N361" s="1087"/>
      <c r="O361" s="1088"/>
      <c r="P361" s="26" t="s">
        <v>7</v>
      </c>
      <c r="Q361" s="24" t="s">
        <v>7</v>
      </c>
      <c r="T361" s="1100"/>
      <c r="U361" s="1054"/>
      <c r="V361" s="1084"/>
      <c r="W361" s="1087"/>
      <c r="X361" s="1088"/>
      <c r="Y361" s="37" t="s">
        <v>148</v>
      </c>
      <c r="Z361" s="37" t="s">
        <v>7</v>
      </c>
      <c r="AA361" s="37" t="s">
        <v>148</v>
      </c>
      <c r="AB361" s="37" t="s">
        <v>7</v>
      </c>
      <c r="AC361" s="146"/>
      <c r="AD361" s="146"/>
      <c r="AE361" s="146"/>
      <c r="AF361" s="146"/>
      <c r="AG361" s="146"/>
      <c r="AH361" s="146"/>
      <c r="AI361" s="146"/>
      <c r="AJ361" s="146"/>
      <c r="AK361" s="146"/>
      <c r="AL361" s="146"/>
      <c r="AM361" s="146"/>
      <c r="AN361" s="146"/>
    </row>
    <row r="362" spans="2:40" x14ac:dyDescent="0.25">
      <c r="B362" s="11">
        <v>1</v>
      </c>
      <c r="C362" s="11">
        <v>2</v>
      </c>
      <c r="D362" s="11" t="s">
        <v>95</v>
      </c>
      <c r="E362" s="873" t="s">
        <v>99</v>
      </c>
      <c r="F362" s="874"/>
      <c r="G362" s="11" t="s">
        <v>100</v>
      </c>
      <c r="H362" s="22" t="s">
        <v>101</v>
      </c>
      <c r="K362" s="11">
        <v>1</v>
      </c>
      <c r="L362" s="11">
        <v>2</v>
      </c>
      <c r="M362" s="11" t="s">
        <v>95</v>
      </c>
      <c r="N362" s="873" t="s">
        <v>99</v>
      </c>
      <c r="O362" s="874"/>
      <c r="P362" s="11" t="s">
        <v>100</v>
      </c>
      <c r="Q362" s="22" t="s">
        <v>101</v>
      </c>
      <c r="T362" s="11">
        <v>1</v>
      </c>
      <c r="U362" s="11">
        <v>2</v>
      </c>
      <c r="V362" s="11" t="s">
        <v>95</v>
      </c>
      <c r="W362" s="1096" t="s">
        <v>99</v>
      </c>
      <c r="X362" s="1097"/>
      <c r="Y362" s="11" t="s">
        <v>153</v>
      </c>
      <c r="Z362" s="11" t="s">
        <v>100</v>
      </c>
      <c r="AA362" s="11" t="s">
        <v>152</v>
      </c>
      <c r="AB362" s="22" t="s">
        <v>101</v>
      </c>
      <c r="AC362" s="146"/>
      <c r="AD362" s="146"/>
      <c r="AE362" s="146"/>
      <c r="AF362" s="146"/>
      <c r="AG362" s="146"/>
      <c r="AH362" s="146"/>
      <c r="AI362" s="146"/>
      <c r="AJ362" s="146"/>
      <c r="AK362" s="146"/>
      <c r="AL362" s="146"/>
      <c r="AM362" s="146"/>
      <c r="AN362" s="146"/>
    </row>
    <row r="363" spans="2:40" ht="14.45" customHeight="1" x14ac:dyDescent="0.25">
      <c r="B363" s="12" t="s">
        <v>72</v>
      </c>
      <c r="C363" s="13" t="s">
        <v>104</v>
      </c>
      <c r="D363" s="13" t="s">
        <v>73</v>
      </c>
      <c r="E363" s="875" t="s">
        <v>403</v>
      </c>
      <c r="F363" s="1048"/>
      <c r="G363" s="137">
        <f>IF(F350=0,IF(F356&lt;&gt;0,F346/F356,0),F346/F350)</f>
        <v>0</v>
      </c>
      <c r="H363" s="138">
        <f>IF((H352+H354)=0,IF(H357&lt;&gt;0,H346/H357,0),H346/(H352+H354))</f>
        <v>0</v>
      </c>
      <c r="K363" s="12" t="s">
        <v>72</v>
      </c>
      <c r="L363" s="13" t="s">
        <v>104</v>
      </c>
      <c r="M363" s="13" t="s">
        <v>73</v>
      </c>
      <c r="N363" s="875" t="s">
        <v>403</v>
      </c>
      <c r="O363" s="1048"/>
      <c r="P363" s="137">
        <f>IF(O350=0,IF(O356&lt;&gt;0,O346/O356,0),O346/O350)</f>
        <v>0</v>
      </c>
      <c r="Q363" s="138">
        <f>IF((Q352+Q354)=0,IF(Q357&lt;&gt;0,Q346/Q357,0),Q346/(Q352+Q354))</f>
        <v>0</v>
      </c>
      <c r="T363" s="12" t="s">
        <v>72</v>
      </c>
      <c r="U363" s="13" t="s">
        <v>104</v>
      </c>
      <c r="V363" s="13" t="s">
        <v>73</v>
      </c>
      <c r="W363" s="875" t="s">
        <v>403</v>
      </c>
      <c r="X363" s="1048"/>
      <c r="Y363" s="137">
        <f>IF(W350=0,IF(W356&lt;&gt;0,W346/W356,0),W346/W350)</f>
        <v>0</v>
      </c>
      <c r="Z363" s="137">
        <f>IF(X350=0,IF(X356&lt;&gt;0,X346/X356,0),X346/X350)</f>
        <v>0</v>
      </c>
      <c r="AA363" s="137">
        <f>IF((Z352+Z354)=0,IF(Z357&lt;&gt;0,Z346/Z357,0),Z346/(Z352+Z354))</f>
        <v>0</v>
      </c>
      <c r="AB363" s="138">
        <f>IF((AA352+AA354)=0,IF(AA357&lt;&gt;0,AA346/AA357,0),AA346/(AA352+AA354))</f>
        <v>0</v>
      </c>
      <c r="AC363" s="146"/>
      <c r="AD363" s="146"/>
      <c r="AE363" s="146"/>
      <c r="AF363" s="146"/>
      <c r="AG363" s="146"/>
      <c r="AH363" s="146"/>
      <c r="AI363" s="146"/>
      <c r="AJ363" s="146"/>
      <c r="AK363" s="146"/>
      <c r="AL363" s="146"/>
      <c r="AM363" s="146"/>
      <c r="AN363" s="146"/>
    </row>
    <row r="364" spans="2:40" x14ac:dyDescent="0.25">
      <c r="B364" s="12" t="s">
        <v>74</v>
      </c>
      <c r="C364" s="13" t="s">
        <v>358</v>
      </c>
      <c r="D364" s="13" t="s">
        <v>10</v>
      </c>
      <c r="E364" s="858" t="s">
        <v>404</v>
      </c>
      <c r="F364" s="870"/>
      <c r="G364" s="340">
        <f>G365+G366</f>
        <v>0</v>
      </c>
      <c r="H364" s="341">
        <f>H365+H366</f>
        <v>0</v>
      </c>
      <c r="K364" s="12" t="s">
        <v>74</v>
      </c>
      <c r="L364" s="13" t="s">
        <v>358</v>
      </c>
      <c r="M364" s="13" t="s">
        <v>10</v>
      </c>
      <c r="N364" s="858" t="s">
        <v>404</v>
      </c>
      <c r="O364" s="870"/>
      <c r="P364" s="340">
        <f>P365+P366</f>
        <v>0</v>
      </c>
      <c r="Q364" s="341">
        <f>Q365+Q366</f>
        <v>0</v>
      </c>
      <c r="T364" s="12" t="s">
        <v>74</v>
      </c>
      <c r="U364" s="13" t="s">
        <v>358</v>
      </c>
      <c r="V364" s="13" t="s">
        <v>10</v>
      </c>
      <c r="W364" s="858" t="s">
        <v>404</v>
      </c>
      <c r="X364" s="870"/>
      <c r="Y364" s="340">
        <f>Y365+Y366</f>
        <v>0</v>
      </c>
      <c r="Z364" s="340">
        <f>Z365+Z366</f>
        <v>0</v>
      </c>
      <c r="AA364" s="340">
        <f>AA365+AA366</f>
        <v>0</v>
      </c>
      <c r="AB364" s="341">
        <f>AB365+AB366</f>
        <v>0</v>
      </c>
      <c r="AC364" s="146"/>
      <c r="AD364" s="146"/>
      <c r="AE364" s="146"/>
      <c r="AF364" s="146"/>
      <c r="AG364" s="146"/>
      <c r="AH364" s="146"/>
      <c r="AI364" s="146"/>
      <c r="AJ364" s="146"/>
      <c r="AK364" s="146"/>
      <c r="AL364" s="146"/>
      <c r="AM364" s="146"/>
      <c r="AN364" s="146"/>
    </row>
    <row r="365" spans="2:40" x14ac:dyDescent="0.25">
      <c r="B365" s="12" t="s">
        <v>352</v>
      </c>
      <c r="C365" s="13" t="s">
        <v>359</v>
      </c>
      <c r="D365" s="13" t="s">
        <v>10</v>
      </c>
      <c r="E365" s="871"/>
      <c r="F365" s="872"/>
      <c r="G365" s="340">
        <f>IF(YEAR(Postup!$H$25)&gt;$D$308,Provozování!$AD84,IF(AND(DAY(Postup!$H$25)=31,MONTH(Postup!$H$25)=12,YEAR(Postup!$H$25)=$D$308),Provozování!$AD84,IF(YEAR(Postup!$H$25)=$D$308,Provozování!$BL$84,0)))</f>
        <v>0</v>
      </c>
      <c r="H365" s="341">
        <f>IF(YEAR(Postup!$H$25)&gt;$D$308,Provozování!$AE84,IF(AND(DAY(Postup!$H$25)=31,MONTH(Postup!$H$25)=12,YEAR(Postup!$H$25)=$D$308),Provozování!$AE84,IF(YEAR(Postup!$H$25)=$D$308,Provozování!$BM$84,0)))</f>
        <v>0</v>
      </c>
      <c r="K365" s="12" t="s">
        <v>352</v>
      </c>
      <c r="L365" s="13" t="s">
        <v>359</v>
      </c>
      <c r="M365" s="13" t="s">
        <v>10</v>
      </c>
      <c r="N365" s="871"/>
      <c r="O365" s="872"/>
      <c r="P365" s="340">
        <f>IF(Provozování!$AF$16="Neaktivní",0,Provozování!AF$84)</f>
        <v>0</v>
      </c>
      <c r="Q365" s="341">
        <f>IF(Provozování!AF$16="Neaktivní",0,Provozování!AG$84)</f>
        <v>0</v>
      </c>
      <c r="T365" s="12" t="s">
        <v>352</v>
      </c>
      <c r="U365" s="13" t="s">
        <v>359</v>
      </c>
      <c r="V365" s="13" t="s">
        <v>10</v>
      </c>
      <c r="W365" s="871"/>
      <c r="X365" s="872"/>
      <c r="Y365" s="340">
        <f>Z365</f>
        <v>0</v>
      </c>
      <c r="Z365" s="340">
        <f>IF(Provozování!$AF$16="Neaktivní",G365,P365)</f>
        <v>0</v>
      </c>
      <c r="AA365" s="340">
        <f>AB365</f>
        <v>0</v>
      </c>
      <c r="AB365" s="341">
        <f>IF(Provozování!$AF$16="Neaktivní",H365,Q365)</f>
        <v>0</v>
      </c>
      <c r="AC365" s="146"/>
      <c r="AD365" s="146"/>
      <c r="AE365" s="146"/>
      <c r="AF365" s="146"/>
      <c r="AG365" s="146"/>
      <c r="AH365" s="146"/>
      <c r="AI365" s="146"/>
      <c r="AJ365" s="146"/>
      <c r="AK365" s="146"/>
      <c r="AL365" s="146"/>
      <c r="AM365" s="146"/>
      <c r="AN365" s="146"/>
    </row>
    <row r="366" spans="2:40" x14ac:dyDescent="0.25">
      <c r="B366" s="12" t="s">
        <v>361</v>
      </c>
      <c r="C366" s="13" t="s">
        <v>360</v>
      </c>
      <c r="D366" s="13" t="s">
        <v>10</v>
      </c>
      <c r="E366" s="884"/>
      <c r="F366" s="869"/>
      <c r="G366" s="340">
        <f>IF(YEAR(Postup!$H$25)&gt;$D$308,((-1)*(Provozování!AD102)),IF(AND(DAY(Postup!$H$25)=31,MONTH(Postup!$H$25)=12,YEAR(Postup!$H$25)=$D$308),((-1)*(Provozování!AD102)),IF(YEAR(Postup!$H$25)=$D$308,((-1)*(Provozování!AD102)),0)))</f>
        <v>0</v>
      </c>
      <c r="H366" s="341">
        <f>IF(YEAR(Postup!$H$25)&gt;$D$308,((-1)*(Provozování!AE102)),IF(AND(DAY(Postup!$H$25)=31,MONTH(Postup!$H$25)=12,YEAR(Postup!$H$25)=$D$308),((-1)*(Provozování!AE102)),IF(YEAR(Postup!$H$25)=$D$308,((-1)*(Provozování!AE102)),0)))</f>
        <v>0</v>
      </c>
      <c r="K366" s="12" t="s">
        <v>361</v>
      </c>
      <c r="L366" s="13" t="s">
        <v>360</v>
      </c>
      <c r="M366" s="13" t="s">
        <v>10</v>
      </c>
      <c r="N366" s="884"/>
      <c r="O366" s="869"/>
      <c r="P366" s="340">
        <f>IF(Provozování!$AF$16="Neaktivní",0,((-1)*(Provozování!AD102)))</f>
        <v>0</v>
      </c>
      <c r="Q366" s="341">
        <f>IF(Provozování!$AF$16="Neaktivní",0,((-1)*(Provozování!AE102)))</f>
        <v>0</v>
      </c>
      <c r="T366" s="12" t="s">
        <v>361</v>
      </c>
      <c r="U366" s="13" t="s">
        <v>360</v>
      </c>
      <c r="V366" s="13" t="s">
        <v>10</v>
      </c>
      <c r="W366" s="884"/>
      <c r="X366" s="869"/>
      <c r="Y366" s="340">
        <f>Z366</f>
        <v>0</v>
      </c>
      <c r="Z366" s="340">
        <f>IF(Provozování!$AF$16="Neaktivní",G366,P366)</f>
        <v>0</v>
      </c>
      <c r="AA366" s="340">
        <f>AB366</f>
        <v>0</v>
      </c>
      <c r="AB366" s="341">
        <f>IF(Provozování!$AF$16="Neaktivní",H366,Q366)</f>
        <v>0</v>
      </c>
      <c r="AC366" s="146"/>
      <c r="AD366" s="146"/>
      <c r="AE366" s="146"/>
      <c r="AF366" s="146"/>
      <c r="AG366" s="146"/>
      <c r="AH366" s="146"/>
      <c r="AI366" s="146"/>
      <c r="AJ366" s="146"/>
      <c r="AK366" s="146"/>
      <c r="AL366" s="146"/>
      <c r="AM366" s="146"/>
      <c r="AN366" s="146"/>
    </row>
    <row r="367" spans="2:40" x14ac:dyDescent="0.25">
      <c r="B367" s="12" t="s">
        <v>75</v>
      </c>
      <c r="C367" s="13" t="s">
        <v>396</v>
      </c>
      <c r="D367" s="13" t="s">
        <v>10</v>
      </c>
      <c r="E367" s="858" t="s">
        <v>405</v>
      </c>
      <c r="F367" s="870"/>
      <c r="G367" s="340">
        <f>F346+G364</f>
        <v>0</v>
      </c>
      <c r="H367" s="341">
        <f>H346+H364</f>
        <v>0</v>
      </c>
      <c r="K367" s="12" t="s">
        <v>75</v>
      </c>
      <c r="L367" s="13" t="s">
        <v>396</v>
      </c>
      <c r="M367" s="13" t="s">
        <v>10</v>
      </c>
      <c r="N367" s="858" t="s">
        <v>405</v>
      </c>
      <c r="O367" s="870"/>
      <c r="P367" s="340">
        <f>O346+P364</f>
        <v>0</v>
      </c>
      <c r="Q367" s="341">
        <f>Q346+Q364</f>
        <v>0</v>
      </c>
      <c r="T367" s="12" t="s">
        <v>75</v>
      </c>
      <c r="U367" s="13" t="s">
        <v>396</v>
      </c>
      <c r="V367" s="13" t="s">
        <v>10</v>
      </c>
      <c r="W367" s="858" t="s">
        <v>405</v>
      </c>
      <c r="X367" s="870"/>
      <c r="Y367" s="14">
        <f>W346+Y364</f>
        <v>0</v>
      </c>
      <c r="Z367" s="14">
        <f>X346+Z364</f>
        <v>0</v>
      </c>
      <c r="AA367" s="14">
        <f>Z346+AA364</f>
        <v>0</v>
      </c>
      <c r="AB367" s="15">
        <f>AA346+AB364</f>
        <v>0</v>
      </c>
      <c r="AC367" s="146"/>
      <c r="AD367" s="146"/>
      <c r="AE367" s="146"/>
      <c r="AF367" s="146"/>
      <c r="AG367" s="146"/>
      <c r="AH367" s="146"/>
      <c r="AI367" s="146"/>
      <c r="AJ367" s="146"/>
      <c r="AK367" s="146"/>
      <c r="AL367" s="146"/>
      <c r="AM367" s="146"/>
      <c r="AN367" s="146"/>
    </row>
    <row r="368" spans="2:40" x14ac:dyDescent="0.25">
      <c r="B368" s="12" t="s">
        <v>76</v>
      </c>
      <c r="C368" s="13" t="s">
        <v>373</v>
      </c>
      <c r="D368" s="13" t="s">
        <v>10</v>
      </c>
      <c r="E368" s="858"/>
      <c r="F368" s="859"/>
      <c r="G368" s="340">
        <f>IF(YEAR(Postup!$H$25)&gt;$D$308,Provozování!AD$87,IF(AND(DAY(Postup!$H$25)=31,MONTH(Postup!$H$25)=12,YEAR(Postup!$H$25)=$D$308),Provozování!AD$87,IF(YEAR(Postup!$H$25)=$D$308,Provozování!$BL$87,0)))</f>
        <v>0</v>
      </c>
      <c r="H368" s="341">
        <f>IF(YEAR(Postup!$H$25)&gt;$D$308,Provozování!AE$87,IF(AND(DAY(Postup!$H$25)=31,MONTH(Postup!$H$25)=12,YEAR(Postup!$H$25)=$D$308),Provozování!AE$87,IF(YEAR(Postup!$H$25)=$D$308,Provozování!$BM$87,0)))</f>
        <v>0</v>
      </c>
      <c r="K368" s="12" t="s">
        <v>76</v>
      </c>
      <c r="L368" s="13" t="s">
        <v>373</v>
      </c>
      <c r="M368" s="13" t="s">
        <v>10</v>
      </c>
      <c r="N368" s="858"/>
      <c r="O368" s="859"/>
      <c r="P368" s="340">
        <f>IF(Provozování!$AF$16="Neaktivní",0,Provozování!AF$87)</f>
        <v>0</v>
      </c>
      <c r="Q368" s="341">
        <f>IF(Provozování!AF$16="Neaktivní",0,Provozování!AG$87)</f>
        <v>0</v>
      </c>
      <c r="T368" s="12" t="s">
        <v>76</v>
      </c>
      <c r="U368" s="13" t="s">
        <v>373</v>
      </c>
      <c r="V368" s="13" t="s">
        <v>10</v>
      </c>
      <c r="W368" s="858"/>
      <c r="X368" s="859"/>
      <c r="Y368" s="462">
        <f>IF(Provozování!AF16="Aktivní",Provozování!AF87,Provozování!AD87)</f>
        <v>2.3999896640999999E-2</v>
      </c>
      <c r="Z368" s="14">
        <f>IF(Provozování!$AF$16="Neaktivní",G368,P368)</f>
        <v>0</v>
      </c>
      <c r="AA368" s="462">
        <f>IF(Provozování!AF16="Aktivní",Provozování!AG87,Provozování!AE87)</f>
        <v>0.100000278</v>
      </c>
      <c r="AB368" s="15">
        <f>IF(Provozování!$AF$16="Neaktivní",H368,Q368)</f>
        <v>0</v>
      </c>
      <c r="AC368" s="146"/>
      <c r="AD368" s="146"/>
      <c r="AE368" s="146"/>
      <c r="AF368" s="146"/>
      <c r="AG368" s="146"/>
      <c r="AH368" s="146"/>
      <c r="AI368" s="146"/>
      <c r="AJ368" s="146"/>
      <c r="AK368" s="146"/>
      <c r="AL368" s="146"/>
      <c r="AM368" s="146"/>
      <c r="AN368" s="146"/>
    </row>
    <row r="369" spans="1:40" ht="14.45" customHeight="1" x14ac:dyDescent="0.25">
      <c r="B369" s="12" t="s">
        <v>78</v>
      </c>
      <c r="C369" s="21" t="s">
        <v>402</v>
      </c>
      <c r="D369" s="13" t="s">
        <v>77</v>
      </c>
      <c r="E369" s="875" t="s">
        <v>406</v>
      </c>
      <c r="F369" s="1048"/>
      <c r="G369" s="137">
        <f>IF(G367=0,0,G368/G367*100)</f>
        <v>0</v>
      </c>
      <c r="H369" s="138">
        <f>IF(H367=0,0,H368/H367*100)</f>
        <v>0</v>
      </c>
      <c r="K369" s="12" t="s">
        <v>78</v>
      </c>
      <c r="L369" s="21" t="s">
        <v>402</v>
      </c>
      <c r="M369" s="13" t="s">
        <v>77</v>
      </c>
      <c r="N369" s="875" t="s">
        <v>406</v>
      </c>
      <c r="O369" s="1048"/>
      <c r="P369" s="137">
        <f>IF(P367=0,0,P368/P367*100)</f>
        <v>0</v>
      </c>
      <c r="Q369" s="138">
        <f>IF(Q367=0,0,Q368/Q367*100)</f>
        <v>0</v>
      </c>
      <c r="T369" s="12" t="s">
        <v>78</v>
      </c>
      <c r="U369" s="21" t="s">
        <v>402</v>
      </c>
      <c r="V369" s="13" t="s">
        <v>77</v>
      </c>
      <c r="W369" s="875" t="s">
        <v>406</v>
      </c>
      <c r="X369" s="1048"/>
      <c r="Y369" s="137">
        <f>IF(Y367=0,0,Y368/Y367*100)</f>
        <v>0</v>
      </c>
      <c r="Z369" s="137">
        <f>IF(Z367=0,0,Z368/Z367*100)</f>
        <v>0</v>
      </c>
      <c r="AA369" s="137">
        <f>IF(AA367=0,0,AA368/AA367*100)</f>
        <v>0</v>
      </c>
      <c r="AB369" s="138">
        <f>IF(AB367=0,0,AB368/AB367*100)</f>
        <v>0</v>
      </c>
      <c r="AC369" s="146"/>
      <c r="AD369" s="146"/>
      <c r="AE369" s="146"/>
      <c r="AF369" s="146"/>
      <c r="AG369" s="146"/>
      <c r="AH369" s="146"/>
      <c r="AI369" s="146"/>
      <c r="AJ369" s="146"/>
      <c r="AK369" s="146"/>
      <c r="AL369" s="146"/>
      <c r="AM369" s="146"/>
      <c r="AN369" s="146"/>
    </row>
    <row r="370" spans="1:40" x14ac:dyDescent="0.25">
      <c r="B370" s="12" t="s">
        <v>79</v>
      </c>
      <c r="C370" s="21" t="s">
        <v>408</v>
      </c>
      <c r="D370" s="13" t="s">
        <v>10</v>
      </c>
      <c r="E370" s="858" t="s">
        <v>407</v>
      </c>
      <c r="F370" s="870"/>
      <c r="G370" s="310">
        <v>0</v>
      </c>
      <c r="H370" s="111">
        <v>0</v>
      </c>
      <c r="K370" s="12" t="s">
        <v>79</v>
      </c>
      <c r="L370" s="21" t="s">
        <v>408</v>
      </c>
      <c r="M370" s="13" t="s">
        <v>10</v>
      </c>
      <c r="N370" s="858" t="s">
        <v>407</v>
      </c>
      <c r="O370" s="870"/>
      <c r="P370" s="310">
        <v>0</v>
      </c>
      <c r="Q370" s="111">
        <v>0</v>
      </c>
      <c r="T370" s="12" t="s">
        <v>79</v>
      </c>
      <c r="U370" s="21" t="s">
        <v>408</v>
      </c>
      <c r="V370" s="13" t="s">
        <v>10</v>
      </c>
      <c r="W370" s="858" t="s">
        <v>407</v>
      </c>
      <c r="X370" s="870"/>
      <c r="Y370" s="337">
        <v>0</v>
      </c>
      <c r="Z370" s="337">
        <v>0</v>
      </c>
      <c r="AA370" s="337">
        <v>0</v>
      </c>
      <c r="AB370" s="334">
        <v>0</v>
      </c>
      <c r="AC370" s="146"/>
      <c r="AD370" s="146"/>
      <c r="AE370" s="146"/>
      <c r="AF370" s="146"/>
      <c r="AG370" s="146"/>
      <c r="AH370" s="146"/>
      <c r="AI370" s="146"/>
      <c r="AJ370" s="146"/>
      <c r="AK370" s="146"/>
      <c r="AL370" s="146"/>
      <c r="AM370" s="146"/>
      <c r="AN370" s="146"/>
    </row>
    <row r="371" spans="1:40" x14ac:dyDescent="0.25">
      <c r="B371" s="12" t="s">
        <v>80</v>
      </c>
      <c r="C371" s="497" t="s">
        <v>354</v>
      </c>
      <c r="D371" s="13"/>
      <c r="E371" s="858" t="s">
        <v>409</v>
      </c>
      <c r="F371" s="870"/>
      <c r="G371" s="310">
        <f>G368-G370</f>
        <v>0</v>
      </c>
      <c r="H371" s="111">
        <f>H368-H370</f>
        <v>0</v>
      </c>
      <c r="K371" s="12" t="s">
        <v>80</v>
      </c>
      <c r="L371" s="497" t="s">
        <v>354</v>
      </c>
      <c r="M371" s="13"/>
      <c r="N371" s="858" t="s">
        <v>409</v>
      </c>
      <c r="O371" s="870"/>
      <c r="P371" s="310">
        <f>P368-P370</f>
        <v>0</v>
      </c>
      <c r="Q371" s="111">
        <f>Q368-Q370</f>
        <v>0</v>
      </c>
      <c r="T371" s="12" t="s">
        <v>80</v>
      </c>
      <c r="U371" s="497" t="s">
        <v>354</v>
      </c>
      <c r="V371" s="13"/>
      <c r="W371" s="858" t="s">
        <v>409</v>
      </c>
      <c r="X371" s="870"/>
      <c r="Y371" s="337">
        <f>Y368-Y370</f>
        <v>2.3999896640999999E-2</v>
      </c>
      <c r="Z371" s="337">
        <f>Z368-Z370</f>
        <v>0</v>
      </c>
      <c r="AA371" s="337">
        <f>AA368-AA370</f>
        <v>0.100000278</v>
      </c>
      <c r="AB371" s="334">
        <f>AB368-AB370</f>
        <v>0</v>
      </c>
      <c r="AC371" s="146"/>
      <c r="AD371" s="146"/>
      <c r="AE371" s="146"/>
      <c r="AF371" s="146"/>
      <c r="AG371" s="146"/>
      <c r="AH371" s="146"/>
      <c r="AI371" s="146"/>
      <c r="AJ371" s="146"/>
      <c r="AK371" s="146"/>
      <c r="AL371" s="146"/>
      <c r="AM371" s="146"/>
      <c r="AN371" s="146"/>
    </row>
    <row r="372" spans="1:40" x14ac:dyDescent="0.25">
      <c r="B372" s="12" t="s">
        <v>82</v>
      </c>
      <c r="C372" s="13" t="s">
        <v>395</v>
      </c>
      <c r="D372" s="13" t="s">
        <v>10</v>
      </c>
      <c r="E372" s="858" t="s">
        <v>410</v>
      </c>
      <c r="F372" s="870"/>
      <c r="G372" s="340">
        <f>G367+G368</f>
        <v>0</v>
      </c>
      <c r="H372" s="341">
        <f>H367+H368</f>
        <v>0</v>
      </c>
      <c r="K372" s="12" t="s">
        <v>82</v>
      </c>
      <c r="L372" s="13" t="s">
        <v>395</v>
      </c>
      <c r="M372" s="13" t="s">
        <v>10</v>
      </c>
      <c r="N372" s="858" t="s">
        <v>410</v>
      </c>
      <c r="O372" s="870"/>
      <c r="P372" s="340">
        <f>P367+P368</f>
        <v>0</v>
      </c>
      <c r="Q372" s="341">
        <f>Q367+Q368</f>
        <v>0</v>
      </c>
      <c r="T372" s="12" t="s">
        <v>82</v>
      </c>
      <c r="U372" s="13" t="s">
        <v>395</v>
      </c>
      <c r="V372" s="13" t="s">
        <v>10</v>
      </c>
      <c r="W372" s="858" t="s">
        <v>410</v>
      </c>
      <c r="X372" s="870"/>
      <c r="Y372" s="340">
        <f>Y367+Y368</f>
        <v>2.3999896640999999E-2</v>
      </c>
      <c r="Z372" s="340">
        <f>Z367+Z368</f>
        <v>0</v>
      </c>
      <c r="AA372" s="340">
        <f>AA367+AA368</f>
        <v>0.100000278</v>
      </c>
      <c r="AB372" s="341">
        <f>AB367+AB368</f>
        <v>0</v>
      </c>
      <c r="AC372" s="146"/>
      <c r="AD372" s="146"/>
      <c r="AE372" s="146"/>
      <c r="AF372" s="146"/>
      <c r="AG372" s="146"/>
      <c r="AH372" s="146"/>
      <c r="AI372" s="146"/>
      <c r="AJ372" s="146"/>
      <c r="AK372" s="146"/>
      <c r="AL372" s="146"/>
      <c r="AM372" s="146"/>
      <c r="AN372" s="146"/>
    </row>
    <row r="373" spans="1:40" x14ac:dyDescent="0.25">
      <c r="B373" s="12" t="s">
        <v>83</v>
      </c>
      <c r="C373" s="13" t="s">
        <v>81</v>
      </c>
      <c r="D373" s="13" t="s">
        <v>58</v>
      </c>
      <c r="E373" s="858" t="s">
        <v>411</v>
      </c>
      <c r="F373" s="870"/>
      <c r="G373" s="340">
        <f>IF(F350=0,F356,F350)</f>
        <v>0</v>
      </c>
      <c r="H373" s="341">
        <f>IF(H352+H354=0,H357,H352+H354)</f>
        <v>0</v>
      </c>
      <c r="K373" s="12" t="s">
        <v>83</v>
      </c>
      <c r="L373" s="13" t="s">
        <v>81</v>
      </c>
      <c r="M373" s="13" t="s">
        <v>58</v>
      </c>
      <c r="N373" s="858" t="s">
        <v>411</v>
      </c>
      <c r="O373" s="870"/>
      <c r="P373" s="340">
        <f>IF(O350=0,O356,O350)</f>
        <v>0</v>
      </c>
      <c r="Q373" s="341">
        <f>IF(Q352+Q354=0,Q357,Q352+Q354)</f>
        <v>0</v>
      </c>
      <c r="T373" s="12" t="s">
        <v>83</v>
      </c>
      <c r="U373" s="13" t="s">
        <v>81</v>
      </c>
      <c r="V373" s="13" t="s">
        <v>58</v>
      </c>
      <c r="W373" s="858" t="s">
        <v>411</v>
      </c>
      <c r="X373" s="870"/>
      <c r="Y373" s="14">
        <f>IF(W350=0,W356,W350)</f>
        <v>0</v>
      </c>
      <c r="Z373" s="14">
        <f>IF(X350=0,X356,X350)</f>
        <v>0</v>
      </c>
      <c r="AA373" s="14">
        <f>IF(Z352+Z354=0,Z357,Z352+Z354)</f>
        <v>0</v>
      </c>
      <c r="AB373" s="15">
        <f>IF(AA352+AA354=0,AA357,AA352+AA354)</f>
        <v>0</v>
      </c>
      <c r="AC373" s="146"/>
      <c r="AD373" s="146"/>
      <c r="AE373" s="146"/>
      <c r="AF373" s="146"/>
      <c r="AG373" s="146"/>
      <c r="AH373" s="146"/>
      <c r="AI373" s="146"/>
      <c r="AJ373" s="146"/>
      <c r="AK373" s="146"/>
      <c r="AL373" s="146"/>
      <c r="AM373" s="146"/>
      <c r="AN373" s="146"/>
    </row>
    <row r="374" spans="1:40" x14ac:dyDescent="0.25">
      <c r="B374" s="12" t="s">
        <v>155</v>
      </c>
      <c r="C374" s="13" t="s">
        <v>393</v>
      </c>
      <c r="D374" s="13" t="s">
        <v>73</v>
      </c>
      <c r="E374" s="858" t="s">
        <v>412</v>
      </c>
      <c r="F374" s="870"/>
      <c r="G374" s="137">
        <f>IF(G373=0,0,G372/G373)</f>
        <v>0</v>
      </c>
      <c r="H374" s="138">
        <f>IF(H373=0,0,H372/H373)</f>
        <v>0</v>
      </c>
      <c r="K374" s="12" t="s">
        <v>155</v>
      </c>
      <c r="L374" s="13" t="s">
        <v>393</v>
      </c>
      <c r="M374" s="13" t="s">
        <v>73</v>
      </c>
      <c r="N374" s="858" t="s">
        <v>412</v>
      </c>
      <c r="O374" s="870"/>
      <c r="P374" s="137">
        <f>IF(P373=0,0,P372/P373)</f>
        <v>0</v>
      </c>
      <c r="Q374" s="138">
        <f>IF(Q373=0,0,Q372/Q373)</f>
        <v>0</v>
      </c>
      <c r="T374" s="12" t="s">
        <v>155</v>
      </c>
      <c r="U374" s="13" t="s">
        <v>393</v>
      </c>
      <c r="V374" s="13" t="s">
        <v>73</v>
      </c>
      <c r="W374" s="858" t="s">
        <v>412</v>
      </c>
      <c r="X374" s="870"/>
      <c r="Y374" s="137">
        <f>IF(Y373=0,0,Y372/Y373)</f>
        <v>0</v>
      </c>
      <c r="Z374" s="137">
        <f>IF(Z373=0,0,Z372/Z373)</f>
        <v>0</v>
      </c>
      <c r="AA374" s="137">
        <f>IF(AA373=0,0,AA372/AA373)</f>
        <v>0</v>
      </c>
      <c r="AB374" s="138">
        <f>IF(AB373=0,0,AB372/AB373)</f>
        <v>0</v>
      </c>
      <c r="AC374" s="146"/>
      <c r="AD374" s="146"/>
      <c r="AE374" s="146"/>
      <c r="AF374" s="146"/>
      <c r="AG374" s="146"/>
      <c r="AH374" s="146"/>
      <c r="AI374" s="146"/>
      <c r="AJ374" s="146"/>
      <c r="AK374" s="146"/>
      <c r="AL374" s="146"/>
      <c r="AM374" s="146"/>
      <c r="AN374" s="146"/>
    </row>
    <row r="375" spans="1:40" x14ac:dyDescent="0.25">
      <c r="B375" s="210" t="s">
        <v>355</v>
      </c>
      <c r="C375" s="244" t="str">
        <f>CONCATENATE("UPLATŇOVANÁ CENA pro vodné, stočné +",Provozování!AD97*100,"% DPH")</f>
        <v>UPLATŇOVANÁ CENA pro vodné, stočné +10% DPH</v>
      </c>
      <c r="D375" s="244" t="s">
        <v>73</v>
      </c>
      <c r="E375" s="858" t="s">
        <v>413</v>
      </c>
      <c r="F375" s="870"/>
      <c r="G375" s="138">
        <f>G374*(1+Provozování!AD$97)</f>
        <v>0</v>
      </c>
      <c r="H375" s="138">
        <f>H374*(1+Provozování!AE$97)</f>
        <v>0</v>
      </c>
      <c r="K375" s="210" t="s">
        <v>355</v>
      </c>
      <c r="L375" s="244" t="str">
        <f>C375</f>
        <v>UPLATŇOVANÁ CENA pro vodné, stočné +10% DPH</v>
      </c>
      <c r="M375" s="244" t="s">
        <v>73</v>
      </c>
      <c r="N375" s="858" t="s">
        <v>413</v>
      </c>
      <c r="O375" s="870"/>
      <c r="P375" s="138">
        <f>P374*(1+Provozování!AD$97)</f>
        <v>0</v>
      </c>
      <c r="Q375" s="138">
        <f>Q374*(1+Provozování!AE$97)</f>
        <v>0</v>
      </c>
      <c r="T375" s="12" t="s">
        <v>355</v>
      </c>
      <c r="U375" s="13" t="str">
        <f>C375</f>
        <v>UPLATŇOVANÁ CENA pro vodné, stočné +10% DPH</v>
      </c>
      <c r="V375" s="13" t="s">
        <v>73</v>
      </c>
      <c r="W375" s="858" t="s">
        <v>413</v>
      </c>
      <c r="X375" s="870"/>
      <c r="Y375" s="137">
        <f>Y374*(1+Provozování!AD$97)</f>
        <v>0</v>
      </c>
      <c r="Z375" s="137">
        <f>Z374*(1+Provozování!AE$97)</f>
        <v>0</v>
      </c>
      <c r="AA375" s="137">
        <f>AA374*(1+Provozování!AD$97)</f>
        <v>0</v>
      </c>
      <c r="AB375" s="138">
        <f>AB374*(1+Provozování!AE$97)</f>
        <v>0</v>
      </c>
      <c r="AC375" s="146"/>
      <c r="AD375" s="146"/>
      <c r="AE375" s="146"/>
      <c r="AF375" s="146"/>
      <c r="AG375" s="146"/>
      <c r="AH375" s="146"/>
      <c r="AI375" s="146"/>
      <c r="AJ375" s="146"/>
      <c r="AK375" s="146"/>
      <c r="AL375" s="146"/>
      <c r="AM375" s="146"/>
      <c r="AN375" s="146"/>
    </row>
    <row r="376" spans="1:40" x14ac:dyDescent="0.25">
      <c r="B376" s="210" t="s">
        <v>356</v>
      </c>
      <c r="C376" s="244" t="s">
        <v>357</v>
      </c>
      <c r="D376" s="244" t="s">
        <v>73</v>
      </c>
      <c r="E376" s="884" t="s">
        <v>414</v>
      </c>
      <c r="F376" s="869"/>
      <c r="G376" s="138">
        <v>0</v>
      </c>
      <c r="H376" s="138">
        <v>0</v>
      </c>
      <c r="K376" s="210" t="s">
        <v>356</v>
      </c>
      <c r="L376" s="244" t="s">
        <v>357</v>
      </c>
      <c r="M376" s="244" t="s">
        <v>73</v>
      </c>
      <c r="N376" s="884" t="s">
        <v>414</v>
      </c>
      <c r="O376" s="869"/>
      <c r="P376" s="138">
        <v>0</v>
      </c>
      <c r="Q376" s="138">
        <v>0</v>
      </c>
      <c r="T376" s="528" t="s">
        <v>356</v>
      </c>
      <c r="U376" s="2" t="s">
        <v>357</v>
      </c>
      <c r="V376" s="2" t="s">
        <v>73</v>
      </c>
      <c r="W376" s="884" t="s">
        <v>414</v>
      </c>
      <c r="X376" s="869"/>
      <c r="Y376" s="529">
        <v>0</v>
      </c>
      <c r="Z376" s="529">
        <v>0</v>
      </c>
      <c r="AA376" s="529">
        <v>0</v>
      </c>
      <c r="AB376" s="530">
        <v>0</v>
      </c>
      <c r="AC376" s="146"/>
      <c r="AD376" s="146"/>
      <c r="AE376" s="146"/>
      <c r="AF376" s="146"/>
      <c r="AG376" s="146"/>
      <c r="AH376" s="146"/>
      <c r="AI376" s="146"/>
      <c r="AJ376" s="146"/>
      <c r="AK376" s="146"/>
      <c r="AL376" s="146"/>
      <c r="AM376" s="146"/>
      <c r="AN376" s="146"/>
    </row>
    <row r="377" spans="1:40" ht="19.5" x14ac:dyDescent="0.25">
      <c r="T377" s="1089" t="s">
        <v>364</v>
      </c>
      <c r="U377" s="1089" t="s">
        <v>154</v>
      </c>
      <c r="V377" s="882" t="s">
        <v>10</v>
      </c>
      <c r="W377" s="854" t="s">
        <v>156</v>
      </c>
      <c r="X377" s="858"/>
      <c r="Y377" s="89" t="s">
        <v>158</v>
      </c>
      <c r="Z377" s="92" t="s">
        <v>159</v>
      </c>
      <c r="AA377" s="89" t="s">
        <v>158</v>
      </c>
      <c r="AB377" s="92" t="s">
        <v>159</v>
      </c>
      <c r="AC377" s="146"/>
      <c r="AD377" s="146"/>
      <c r="AE377" s="146"/>
      <c r="AF377" s="146"/>
      <c r="AG377" s="146"/>
      <c r="AH377" s="146"/>
      <c r="AI377" s="146"/>
      <c r="AJ377" s="146"/>
      <c r="AK377" s="146"/>
      <c r="AL377" s="146"/>
      <c r="AM377" s="146"/>
      <c r="AN377" s="146"/>
    </row>
    <row r="378" spans="1:40" x14ac:dyDescent="0.25">
      <c r="B378" s="383" t="s">
        <v>283</v>
      </c>
      <c r="T378" s="1090"/>
      <c r="U378" s="1090"/>
      <c r="V378" s="1092"/>
      <c r="W378" s="1093">
        <v>0</v>
      </c>
      <c r="X378" s="1094"/>
      <c r="Y378" s="90">
        <f>W308</f>
        <v>2028</v>
      </c>
      <c r="Z378" s="90">
        <f>W308</f>
        <v>2028</v>
      </c>
      <c r="AA378" s="90">
        <f>W308</f>
        <v>2028</v>
      </c>
      <c r="AB378" s="90">
        <f>W308</f>
        <v>2028</v>
      </c>
      <c r="AC378" s="146"/>
      <c r="AD378" s="146"/>
      <c r="AE378" s="146"/>
      <c r="AF378" s="146"/>
      <c r="AG378" s="146"/>
      <c r="AH378" s="146"/>
      <c r="AI378" s="146"/>
      <c r="AJ378" s="146"/>
      <c r="AK378" s="146"/>
      <c r="AL378" s="146"/>
      <c r="AM378" s="146"/>
      <c r="AN378" s="146"/>
    </row>
    <row r="379" spans="1:40" x14ac:dyDescent="0.25">
      <c r="B379" s="383" t="s">
        <v>284</v>
      </c>
      <c r="T379" s="1090"/>
      <c r="U379" s="1090"/>
      <c r="V379" s="1092"/>
      <c r="W379" s="854" t="s">
        <v>157</v>
      </c>
      <c r="X379" s="858"/>
      <c r="Y379" s="91" t="s">
        <v>160</v>
      </c>
      <c r="Z379" s="91" t="s">
        <v>160</v>
      </c>
      <c r="AA379" s="91" t="s">
        <v>161</v>
      </c>
      <c r="AB379" s="91" t="s">
        <v>161</v>
      </c>
      <c r="AC379" s="146"/>
      <c r="AD379" s="146"/>
      <c r="AE379" s="146"/>
      <c r="AF379" s="146"/>
      <c r="AG379" s="146"/>
      <c r="AH379" s="146"/>
      <c r="AI379" s="146"/>
      <c r="AJ379" s="146"/>
      <c r="AK379" s="146"/>
      <c r="AL379" s="146"/>
      <c r="AM379" s="146"/>
      <c r="AN379" s="146"/>
    </row>
    <row r="380" spans="1:40" x14ac:dyDescent="0.25">
      <c r="T380" s="1091"/>
      <c r="U380" s="1091"/>
      <c r="V380" s="883"/>
      <c r="W380" s="1095">
        <v>0</v>
      </c>
      <c r="X380" s="1093"/>
      <c r="Y380" s="464">
        <v>0</v>
      </c>
      <c r="Z380" s="464">
        <v>0</v>
      </c>
      <c r="AA380" s="464">
        <v>0</v>
      </c>
      <c r="AB380" s="464">
        <v>0</v>
      </c>
      <c r="AC380" s="146"/>
      <c r="AD380" s="146"/>
      <c r="AE380" s="146"/>
      <c r="AF380" s="146"/>
      <c r="AG380" s="146"/>
      <c r="AH380" s="146"/>
      <c r="AI380" s="146"/>
      <c r="AJ380" s="146"/>
      <c r="AK380" s="146"/>
      <c r="AL380" s="146"/>
      <c r="AM380" s="146"/>
      <c r="AN380" s="146"/>
    </row>
    <row r="381" spans="1:40" x14ac:dyDescent="0.25">
      <c r="A381" s="252"/>
      <c r="B381" s="29"/>
      <c r="C381" s="29"/>
      <c r="D381" s="29"/>
      <c r="E381" s="29"/>
      <c r="F381" s="29"/>
      <c r="G381" s="29"/>
      <c r="H381" s="29"/>
      <c r="I381" s="29"/>
      <c r="J381" s="29"/>
      <c r="K381" s="29"/>
      <c r="L381" s="29"/>
      <c r="M381" s="29"/>
      <c r="N381" s="29"/>
      <c r="O381" s="29"/>
      <c r="P381" s="29"/>
      <c r="Q381" s="29"/>
      <c r="R381" s="29"/>
      <c r="AC381" s="146"/>
      <c r="AD381" s="146"/>
      <c r="AE381" s="146"/>
      <c r="AF381" s="146"/>
      <c r="AG381" s="338"/>
      <c r="AH381" s="338"/>
    </row>
    <row r="382" spans="1:40" x14ac:dyDescent="0.25">
      <c r="B382" s="899" t="s">
        <v>316</v>
      </c>
      <c r="C382" s="900"/>
      <c r="D382" s="900"/>
      <c r="E382" s="900"/>
      <c r="F382" s="900"/>
      <c r="G382" s="900"/>
      <c r="H382" s="900"/>
      <c r="K382" s="899" t="s">
        <v>317</v>
      </c>
      <c r="L382" s="900"/>
      <c r="M382" s="900"/>
      <c r="N382" s="900"/>
      <c r="O382" s="900"/>
      <c r="P382" s="900"/>
      <c r="Q382" s="900"/>
      <c r="T382" s="899" t="s">
        <v>162</v>
      </c>
      <c r="U382" s="900"/>
      <c r="V382" s="900"/>
      <c r="W382" s="900"/>
      <c r="X382" s="900"/>
      <c r="Y382" s="900"/>
      <c r="Z382" s="900"/>
      <c r="AA382" s="900"/>
      <c r="AB382" s="900"/>
      <c r="AC382" s="146"/>
      <c r="AD382" s="146"/>
      <c r="AK382" s="146"/>
      <c r="AL382" s="146"/>
      <c r="AM382" s="146"/>
      <c r="AN382" s="146"/>
    </row>
    <row r="383" spans="1:40" x14ac:dyDescent="0.25">
      <c r="C383" s="272"/>
      <c r="E383" s="25"/>
      <c r="F383" s="25"/>
      <c r="L383" s="25"/>
      <c r="N383" s="25"/>
      <c r="T383" s="1079" t="s">
        <v>318</v>
      </c>
      <c r="U383" s="1079"/>
      <c r="V383" s="1079"/>
      <c r="W383" s="1079"/>
      <c r="X383" s="1079"/>
      <c r="Y383" s="1079"/>
      <c r="Z383" s="1079"/>
      <c r="AA383" s="1079"/>
      <c r="AB383" s="1079"/>
      <c r="AC383" s="146"/>
      <c r="AD383" s="146"/>
      <c r="AK383" s="146"/>
      <c r="AL383" s="146"/>
      <c r="AM383" s="146"/>
      <c r="AN383" s="146"/>
    </row>
    <row r="384" spans="1:40" x14ac:dyDescent="0.25">
      <c r="C384" s="272" t="s">
        <v>103</v>
      </c>
      <c r="D384" s="274">
        <f>D308+1</f>
        <v>2029</v>
      </c>
      <c r="E384" s="25"/>
      <c r="F384" s="272" t="s">
        <v>221</v>
      </c>
      <c r="G384" s="275" t="str">
        <f>Výpočty!M$48</f>
        <v>-</v>
      </c>
      <c r="H384" s="275" t="str">
        <f>IF(Výpočty!M$49="-"," ",CONCATENATE("- ",DAY(Výpočty!M$49),".",MONTH(Výpočty!M$49),".",D384))</f>
        <v xml:space="preserve"> </v>
      </c>
      <c r="L384" s="272" t="s">
        <v>103</v>
      </c>
      <c r="M384" s="274">
        <f>D384</f>
        <v>2029</v>
      </c>
      <c r="O384" s="272" t="s">
        <v>221</v>
      </c>
      <c r="P384" s="360" t="str">
        <f>Výpočty!M$44</f>
        <v>-</v>
      </c>
      <c r="Q384" s="360" t="str">
        <f>IF(P384="-"," ",H384)</f>
        <v xml:space="preserve"> </v>
      </c>
      <c r="T384" s="333"/>
      <c r="U384" s="333"/>
      <c r="V384" s="342" t="s">
        <v>147</v>
      </c>
      <c r="W384" s="274">
        <f>D384</f>
        <v>2029</v>
      </c>
      <c r="Z384" s="272" t="s">
        <v>221</v>
      </c>
      <c r="AA384" s="275" t="str">
        <f>G384</f>
        <v>-</v>
      </c>
      <c r="AB384" s="275" t="str">
        <f>H384</f>
        <v xml:space="preserve"> </v>
      </c>
      <c r="AC384" s="146"/>
      <c r="AD384" s="146"/>
      <c r="AK384" s="146"/>
      <c r="AL384" s="146"/>
      <c r="AM384" s="146"/>
      <c r="AN384" s="146"/>
    </row>
    <row r="385" spans="2:40" x14ac:dyDescent="0.25">
      <c r="B385" s="13" t="s">
        <v>66</v>
      </c>
      <c r="C385" s="13" t="s">
        <v>89</v>
      </c>
      <c r="D385" s="902" t="str">
        <f t="shared" ref="D385:D390" si="41">D309</f>
        <v>PRVOK s.r.o., IČ 281 28 257</v>
      </c>
      <c r="E385" s="903"/>
      <c r="F385" s="903"/>
      <c r="G385" s="903"/>
      <c r="H385" s="904"/>
      <c r="K385" s="13" t="s">
        <v>66</v>
      </c>
      <c r="L385" s="13" t="s">
        <v>89</v>
      </c>
      <c r="M385" s="1080" t="str">
        <f>D385</f>
        <v>PRVOK s.r.o., IČ 281 28 257</v>
      </c>
      <c r="N385" s="1081"/>
      <c r="O385" s="1081"/>
      <c r="P385" s="1081"/>
      <c r="Q385" s="1081"/>
      <c r="T385" s="13" t="s">
        <v>66</v>
      </c>
      <c r="U385" s="13" t="s">
        <v>89</v>
      </c>
      <c r="V385" s="1080" t="str">
        <f>D385</f>
        <v>PRVOK s.r.o., IČ 281 28 257</v>
      </c>
      <c r="W385" s="1081"/>
      <c r="X385" s="1081"/>
      <c r="Y385" s="1081"/>
      <c r="Z385" s="1081"/>
      <c r="AA385" s="1081"/>
      <c r="AB385" s="1081"/>
      <c r="AC385" s="146"/>
      <c r="AD385" s="146"/>
      <c r="AK385" s="146"/>
      <c r="AL385" s="146"/>
      <c r="AM385" s="146"/>
      <c r="AN385" s="146"/>
    </row>
    <row r="386" spans="2:40" x14ac:dyDescent="0.25">
      <c r="B386" s="13" t="s">
        <v>84</v>
      </c>
      <c r="C386" s="13" t="s">
        <v>90</v>
      </c>
      <c r="D386" s="902" t="str">
        <f t="shared" si="41"/>
        <v>PRVOK s.r.o., IČ 281 28 257</v>
      </c>
      <c r="E386" s="903"/>
      <c r="F386" s="903"/>
      <c r="G386" s="903"/>
      <c r="H386" s="904"/>
      <c r="K386" s="13" t="s">
        <v>84</v>
      </c>
      <c r="L386" s="13" t="s">
        <v>90</v>
      </c>
      <c r="M386" s="1061" t="str">
        <f>D386</f>
        <v>PRVOK s.r.o., IČ 281 28 257</v>
      </c>
      <c r="N386" s="1062"/>
      <c r="O386" s="1062"/>
      <c r="P386" s="1062"/>
      <c r="Q386" s="1063"/>
      <c r="T386" s="13" t="s">
        <v>84</v>
      </c>
      <c r="U386" s="13" t="s">
        <v>90</v>
      </c>
      <c r="V386" s="1061" t="str">
        <f>D386</f>
        <v>PRVOK s.r.o., IČ 281 28 257</v>
      </c>
      <c r="W386" s="1062"/>
      <c r="X386" s="1062"/>
      <c r="Y386" s="1062"/>
      <c r="Z386" s="1062"/>
      <c r="AA386" s="1062"/>
      <c r="AB386" s="1063"/>
      <c r="AC386" s="146"/>
      <c r="AD386" s="146"/>
      <c r="AK386" s="146"/>
      <c r="AL386" s="146"/>
      <c r="AM386" s="146"/>
      <c r="AN386" s="146"/>
    </row>
    <row r="387" spans="2:40" x14ac:dyDescent="0.25">
      <c r="B387" s="13" t="s">
        <v>85</v>
      </c>
      <c r="C387" s="13" t="s">
        <v>91</v>
      </c>
      <c r="D387" s="902" t="str">
        <f t="shared" si="41"/>
        <v>Obec Benešov nad Černou, IČ 00245780</v>
      </c>
      <c r="E387" s="903"/>
      <c r="F387" s="903"/>
      <c r="G387" s="903"/>
      <c r="H387" s="904"/>
      <c r="K387" s="13" t="s">
        <v>85</v>
      </c>
      <c r="L387" s="13" t="s">
        <v>91</v>
      </c>
      <c r="M387" s="1061" t="str">
        <f>D387</f>
        <v>Obec Benešov nad Černou, IČ 00245780</v>
      </c>
      <c r="N387" s="1062"/>
      <c r="O387" s="1062"/>
      <c r="P387" s="1062"/>
      <c r="Q387" s="1063"/>
      <c r="T387" s="13" t="s">
        <v>85</v>
      </c>
      <c r="U387" s="13" t="s">
        <v>91</v>
      </c>
      <c r="V387" s="1061" t="str">
        <f>D387</f>
        <v>Obec Benešov nad Černou, IČ 00245780</v>
      </c>
      <c r="W387" s="1062"/>
      <c r="X387" s="1062"/>
      <c r="Y387" s="1062"/>
      <c r="Z387" s="1062"/>
      <c r="AA387" s="1062"/>
      <c r="AB387" s="1063"/>
      <c r="AC387" s="146"/>
      <c r="AD387" s="146"/>
      <c r="AK387" s="146"/>
      <c r="AL387" s="146"/>
      <c r="AM387" s="146"/>
      <c r="AN387" s="146"/>
    </row>
    <row r="388" spans="2:40" x14ac:dyDescent="0.25">
      <c r="B388" s="13" t="s">
        <v>86</v>
      </c>
      <c r="C388" s="13" t="s">
        <v>93</v>
      </c>
      <c r="D388" s="1055" t="str">
        <f t="shared" si="41"/>
        <v>A</v>
      </c>
      <c r="E388" s="1056"/>
      <c r="F388" s="1056"/>
      <c r="G388" s="1056"/>
      <c r="H388" s="1057"/>
      <c r="K388" s="13" t="s">
        <v>86</v>
      </c>
      <c r="L388" s="13" t="s">
        <v>93</v>
      </c>
      <c r="M388" s="1058" t="str">
        <f>IF($D388="[vyplnit]"," ",$D388)</f>
        <v>A</v>
      </c>
      <c r="N388" s="1059"/>
      <c r="O388" s="1059"/>
      <c r="P388" s="1059"/>
      <c r="Q388" s="1060"/>
      <c r="T388" s="13" t="s">
        <v>86</v>
      </c>
      <c r="U388" s="13" t="s">
        <v>93</v>
      </c>
      <c r="V388" s="1064" t="str">
        <f>IF($D388="[vyplnit]"," ",$D388)</f>
        <v>A</v>
      </c>
      <c r="W388" s="1064"/>
      <c r="X388" s="1064"/>
      <c r="Y388" s="1064"/>
      <c r="Z388" s="1064"/>
      <c r="AA388" s="1064"/>
      <c r="AB388" s="1064"/>
      <c r="AC388" s="146"/>
      <c r="AD388" s="146"/>
      <c r="AK388" s="146"/>
      <c r="AL388" s="146"/>
      <c r="AM388" s="146"/>
      <c r="AN388" s="146"/>
    </row>
    <row r="389" spans="2:40" x14ac:dyDescent="0.25">
      <c r="B389" s="13" t="s">
        <v>87</v>
      </c>
      <c r="C389" s="13" t="s">
        <v>92</v>
      </c>
      <c r="D389" s="1055">
        <f t="shared" si="41"/>
        <v>1</v>
      </c>
      <c r="E389" s="1056"/>
      <c r="F389" s="1056"/>
      <c r="G389" s="1056"/>
      <c r="H389" s="1057"/>
      <c r="K389" s="13" t="s">
        <v>87</v>
      </c>
      <c r="L389" s="13" t="s">
        <v>92</v>
      </c>
      <c r="M389" s="1058">
        <f>IF($D389="[vyplnit]"," ",$D389)</f>
        <v>1</v>
      </c>
      <c r="N389" s="1059"/>
      <c r="O389" s="1059"/>
      <c r="P389" s="1059"/>
      <c r="Q389" s="1060"/>
      <c r="T389" s="13" t="s">
        <v>87</v>
      </c>
      <c r="U389" s="13" t="s">
        <v>92</v>
      </c>
      <c r="V389" s="1064">
        <f>IF($D389="[vyplnit]"," ",$D389)</f>
        <v>1</v>
      </c>
      <c r="W389" s="1064"/>
      <c r="X389" s="1064"/>
      <c r="Y389" s="1064"/>
      <c r="Z389" s="1064"/>
      <c r="AA389" s="1064"/>
      <c r="AB389" s="1064"/>
      <c r="AC389" s="146"/>
      <c r="AD389" s="146"/>
      <c r="AK389" s="146"/>
      <c r="AL389" s="146"/>
      <c r="AM389" s="146"/>
      <c r="AN389" s="146"/>
    </row>
    <row r="390" spans="2:40" x14ac:dyDescent="0.25">
      <c r="B390" s="13" t="s">
        <v>88</v>
      </c>
      <c r="C390" s="13" t="s">
        <v>94</v>
      </c>
      <c r="D390" s="1055" t="str">
        <f t="shared" si="41"/>
        <v>[vyplnit]</v>
      </c>
      <c r="E390" s="1056"/>
      <c r="F390" s="1056"/>
      <c r="G390" s="1056"/>
      <c r="H390" s="1057"/>
      <c r="K390" s="13" t="s">
        <v>88</v>
      </c>
      <c r="L390" s="13" t="s">
        <v>94</v>
      </c>
      <c r="M390" s="1058" t="str">
        <f>IF($D390="[vyplnit]"," ",$D390)</f>
        <v xml:space="preserve"> </v>
      </c>
      <c r="N390" s="1059"/>
      <c r="O390" s="1059"/>
      <c r="P390" s="1059"/>
      <c r="Q390" s="1060"/>
      <c r="T390" s="13" t="s">
        <v>88</v>
      </c>
      <c r="U390" s="13" t="s">
        <v>94</v>
      </c>
      <c r="V390" s="1064" t="str">
        <f>IF($D390="[vyplnit]"," ",$D390)</f>
        <v xml:space="preserve"> </v>
      </c>
      <c r="W390" s="1064"/>
      <c r="X390" s="1064"/>
      <c r="Y390" s="1064"/>
      <c r="Z390" s="1064"/>
      <c r="AA390" s="1064"/>
      <c r="AB390" s="1064"/>
      <c r="AC390" s="146"/>
      <c r="AD390" s="146"/>
      <c r="AK390" s="146"/>
      <c r="AL390" s="146"/>
      <c r="AM390" s="146"/>
      <c r="AN390" s="146"/>
    </row>
    <row r="391" spans="2:40" x14ac:dyDescent="0.25">
      <c r="AC391" s="146"/>
      <c r="AK391" s="146"/>
      <c r="AL391" s="146"/>
      <c r="AM391" s="146"/>
      <c r="AN391" s="146"/>
    </row>
    <row r="392" spans="2:40" x14ac:dyDescent="0.25">
      <c r="B392" s="1052" t="s">
        <v>5</v>
      </c>
      <c r="C392" s="884" t="s">
        <v>0</v>
      </c>
      <c r="D392" s="868"/>
      <c r="E392" s="868"/>
      <c r="F392" s="868"/>
      <c r="G392" s="868"/>
      <c r="H392" s="869"/>
      <c r="K392" s="1052" t="s">
        <v>5</v>
      </c>
      <c r="L392" s="884" t="s">
        <v>0</v>
      </c>
      <c r="M392" s="868"/>
      <c r="N392" s="868"/>
      <c r="O392" s="868"/>
      <c r="P392" s="868"/>
      <c r="Q392" s="869"/>
      <c r="T392" s="1052" t="s">
        <v>5</v>
      </c>
      <c r="U392" s="884" t="s">
        <v>0</v>
      </c>
      <c r="V392" s="868"/>
      <c r="W392" s="868"/>
      <c r="X392" s="868"/>
      <c r="Y392" s="868"/>
      <c r="Z392" s="868"/>
      <c r="AA392" s="868"/>
      <c r="AB392" s="869"/>
      <c r="AC392" s="146"/>
      <c r="AK392" s="146"/>
      <c r="AL392" s="146"/>
      <c r="AM392" s="146"/>
      <c r="AN392" s="146"/>
    </row>
    <row r="393" spans="2:40" x14ac:dyDescent="0.25">
      <c r="B393" s="1053"/>
      <c r="C393" s="1052" t="s">
        <v>1</v>
      </c>
      <c r="D393" s="1065" t="s">
        <v>133</v>
      </c>
      <c r="E393" s="884" t="s">
        <v>3</v>
      </c>
      <c r="F393" s="868"/>
      <c r="G393" s="884" t="s">
        <v>4</v>
      </c>
      <c r="H393" s="869"/>
      <c r="K393" s="1053"/>
      <c r="L393" s="1052" t="s">
        <v>1</v>
      </c>
      <c r="M393" s="1065" t="s">
        <v>133</v>
      </c>
      <c r="N393" s="884" t="s">
        <v>3</v>
      </c>
      <c r="O393" s="868"/>
      <c r="P393" s="884" t="s">
        <v>4</v>
      </c>
      <c r="Q393" s="869"/>
      <c r="T393" s="1053"/>
      <c r="U393" s="1052" t="s">
        <v>1</v>
      </c>
      <c r="V393" s="1065" t="s">
        <v>133</v>
      </c>
      <c r="W393" s="884" t="s">
        <v>3</v>
      </c>
      <c r="X393" s="868"/>
      <c r="Y393" s="868"/>
      <c r="Z393" s="884" t="s">
        <v>4</v>
      </c>
      <c r="AA393" s="868"/>
      <c r="AB393" s="869"/>
      <c r="AC393" s="146"/>
      <c r="AK393" s="146"/>
      <c r="AL393" s="146"/>
      <c r="AM393" s="146"/>
      <c r="AN393" s="146"/>
    </row>
    <row r="394" spans="2:40" x14ac:dyDescent="0.25">
      <c r="B394" s="1053"/>
      <c r="C394" s="1053"/>
      <c r="D394" s="1053"/>
      <c r="E394" s="28">
        <f>D384-1</f>
        <v>2028</v>
      </c>
      <c r="F394" s="28">
        <f>D384</f>
        <v>2029</v>
      </c>
      <c r="G394" s="28">
        <f>D384-1</f>
        <v>2028</v>
      </c>
      <c r="H394" s="28">
        <f>D384</f>
        <v>2029</v>
      </c>
      <c r="K394" s="1053"/>
      <c r="L394" s="1053"/>
      <c r="M394" s="1053"/>
      <c r="N394" s="28">
        <f>M384-1</f>
        <v>2028</v>
      </c>
      <c r="O394" s="28">
        <f>M384</f>
        <v>2029</v>
      </c>
      <c r="P394" s="28">
        <f>M384-1</f>
        <v>2028</v>
      </c>
      <c r="Q394" s="28">
        <f>M384</f>
        <v>2029</v>
      </c>
      <c r="T394" s="1053"/>
      <c r="U394" s="1053"/>
      <c r="V394" s="1053"/>
      <c r="W394" s="28">
        <f>W384</f>
        <v>2029</v>
      </c>
      <c r="X394" s="28">
        <f>W384</f>
        <v>2029</v>
      </c>
      <c r="Y394" s="28">
        <f>W384</f>
        <v>2029</v>
      </c>
      <c r="Z394" s="28">
        <f>W384</f>
        <v>2029</v>
      </c>
      <c r="AA394" s="28">
        <f>W384</f>
        <v>2029</v>
      </c>
      <c r="AB394" s="28">
        <f>W384</f>
        <v>2029</v>
      </c>
      <c r="AC394" s="146"/>
      <c r="AK394" s="146"/>
      <c r="AL394" s="146"/>
      <c r="AM394" s="146"/>
      <c r="AN394" s="146"/>
    </row>
    <row r="395" spans="2:40" x14ac:dyDescent="0.25">
      <c r="B395" s="1054"/>
      <c r="C395" s="1054"/>
      <c r="D395" s="1054"/>
      <c r="E395" s="7" t="s">
        <v>151</v>
      </c>
      <c r="F395" s="7" t="s">
        <v>98</v>
      </c>
      <c r="G395" s="7" t="s">
        <v>151</v>
      </c>
      <c r="H395" s="19" t="s">
        <v>98</v>
      </c>
      <c r="K395" s="1054"/>
      <c r="L395" s="1054"/>
      <c r="M395" s="1054"/>
      <c r="N395" s="7" t="s">
        <v>151</v>
      </c>
      <c r="O395" s="7" t="s">
        <v>98</v>
      </c>
      <c r="P395" s="7" t="s">
        <v>151</v>
      </c>
      <c r="Q395" s="19" t="s">
        <v>98</v>
      </c>
      <c r="T395" s="1054"/>
      <c r="U395" s="1054"/>
      <c r="V395" s="1054"/>
      <c r="W395" s="7" t="s">
        <v>150</v>
      </c>
      <c r="X395" s="7" t="s">
        <v>98</v>
      </c>
      <c r="Y395" s="7" t="s">
        <v>149</v>
      </c>
      <c r="Z395" s="7" t="s">
        <v>150</v>
      </c>
      <c r="AA395" s="7" t="s">
        <v>98</v>
      </c>
      <c r="AB395" s="19" t="s">
        <v>149</v>
      </c>
      <c r="AC395" s="146"/>
      <c r="AK395" s="146"/>
      <c r="AL395" s="146"/>
      <c r="AM395" s="146"/>
      <c r="AN395" s="146"/>
    </row>
    <row r="396" spans="2:40" x14ac:dyDescent="0.25">
      <c r="B396" s="11">
        <v>1</v>
      </c>
      <c r="C396" s="11">
        <v>2</v>
      </c>
      <c r="D396" s="11" t="s">
        <v>95</v>
      </c>
      <c r="E396" s="11">
        <v>3</v>
      </c>
      <c r="F396" s="11">
        <v>4</v>
      </c>
      <c r="G396" s="11">
        <v>6</v>
      </c>
      <c r="H396" s="22">
        <v>7</v>
      </c>
      <c r="K396" s="11">
        <v>1</v>
      </c>
      <c r="L396" s="11">
        <v>2</v>
      </c>
      <c r="M396" s="11" t="s">
        <v>95</v>
      </c>
      <c r="N396" s="11">
        <v>3</v>
      </c>
      <c r="O396" s="11">
        <v>4</v>
      </c>
      <c r="P396" s="11">
        <v>6</v>
      </c>
      <c r="Q396" s="22">
        <v>7</v>
      </c>
      <c r="T396" s="11">
        <v>1</v>
      </c>
      <c r="U396" s="11">
        <v>2</v>
      </c>
      <c r="V396" s="11" t="s">
        <v>95</v>
      </c>
      <c r="W396" s="11">
        <v>3</v>
      </c>
      <c r="X396" s="11">
        <v>4</v>
      </c>
      <c r="Y396" s="11">
        <v>5</v>
      </c>
      <c r="Z396" s="11">
        <v>6</v>
      </c>
      <c r="AA396" s="11">
        <v>7</v>
      </c>
      <c r="AB396" s="22">
        <v>8</v>
      </c>
      <c r="AC396" s="146"/>
      <c r="AK396" s="146"/>
      <c r="AL396" s="146"/>
      <c r="AM396" s="146"/>
      <c r="AN396" s="146"/>
    </row>
    <row r="397" spans="2:40" x14ac:dyDescent="0.25">
      <c r="B397" s="9" t="s">
        <v>8</v>
      </c>
      <c r="C397" s="10" t="s">
        <v>9</v>
      </c>
      <c r="D397" s="11" t="s">
        <v>10</v>
      </c>
      <c r="E397" s="41">
        <f>SUM(E398:E401)</f>
        <v>0</v>
      </c>
      <c r="F397" s="41">
        <f>SUM(F398:F401)</f>
        <v>0</v>
      </c>
      <c r="G397" s="41">
        <f>SUM(G398:G401)</f>
        <v>0</v>
      </c>
      <c r="H397" s="86">
        <f>SUM(H398:H401)</f>
        <v>0</v>
      </c>
      <c r="K397" s="9" t="s">
        <v>8</v>
      </c>
      <c r="L397" s="10" t="s">
        <v>9</v>
      </c>
      <c r="M397" s="11" t="s">
        <v>10</v>
      </c>
      <c r="N397" s="41">
        <f>SUM(N398:N401)</f>
        <v>0</v>
      </c>
      <c r="O397" s="41">
        <f>SUM(O398:O401)</f>
        <v>0</v>
      </c>
      <c r="P397" s="41">
        <f>SUM(P398:P401)</f>
        <v>0</v>
      </c>
      <c r="Q397" s="86">
        <f>SUM(Q398:Q401)</f>
        <v>0</v>
      </c>
      <c r="T397" s="9" t="s">
        <v>8</v>
      </c>
      <c r="U397" s="10" t="s">
        <v>9</v>
      </c>
      <c r="V397" s="11" t="s">
        <v>10</v>
      </c>
      <c r="W397" s="86">
        <f t="shared" ref="W397:AB397" si="42">SUM(W398:W401)</f>
        <v>0</v>
      </c>
      <c r="X397" s="86">
        <f t="shared" si="42"/>
        <v>0</v>
      </c>
      <c r="Y397" s="86">
        <f t="shared" si="42"/>
        <v>0</v>
      </c>
      <c r="Z397" s="86">
        <f t="shared" si="42"/>
        <v>0</v>
      </c>
      <c r="AA397" s="86">
        <f t="shared" si="42"/>
        <v>0</v>
      </c>
      <c r="AB397" s="86">
        <f t="shared" si="42"/>
        <v>0</v>
      </c>
      <c r="AC397" s="146"/>
      <c r="AK397" s="146"/>
      <c r="AL397" s="146"/>
      <c r="AM397" s="146"/>
      <c r="AN397" s="146"/>
    </row>
    <row r="398" spans="2:40" x14ac:dyDescent="0.25">
      <c r="B398" s="12" t="s">
        <v>11</v>
      </c>
      <c r="C398" s="13" t="s">
        <v>12</v>
      </c>
      <c r="D398" s="3" t="s">
        <v>10</v>
      </c>
      <c r="E398" s="44">
        <v>0</v>
      </c>
      <c r="F398" s="44">
        <f>IF(YEAR(Postup!$H$25)&gt;$D$384,Provozování!AI23,IF(AND(DAY(Postup!$H$25)=31,MONTH(Postup!$H$25)=12,YEAR(Postup!$H$25)=$D$384),Provozování!AI23,IF(YEAR(Postup!$H$25)=$D$384,Provozování!$BL23,0)))</f>
        <v>0</v>
      </c>
      <c r="G398" s="44">
        <v>0</v>
      </c>
      <c r="H398" s="334">
        <v>0</v>
      </c>
      <c r="K398" s="12" t="s">
        <v>11</v>
      </c>
      <c r="L398" s="13" t="s">
        <v>12</v>
      </c>
      <c r="M398" s="3" t="s">
        <v>10</v>
      </c>
      <c r="N398" s="44">
        <v>0</v>
      </c>
      <c r="O398" s="44">
        <f>IF(Provozování!$AK$16="Neaktivní",0,Provozování!AK23)</f>
        <v>0</v>
      </c>
      <c r="P398" s="44">
        <v>0</v>
      </c>
      <c r="Q398" s="334">
        <v>0</v>
      </c>
      <c r="T398" s="12" t="s">
        <v>11</v>
      </c>
      <c r="U398" s="13" t="s">
        <v>12</v>
      </c>
      <c r="V398" s="3" t="s">
        <v>10</v>
      </c>
      <c r="W398" s="462">
        <v>0</v>
      </c>
      <c r="X398" s="44">
        <f>IF(Provozování!$AK$16="Neaktivní",F398,O398)</f>
        <v>0</v>
      </c>
      <c r="Y398" s="44">
        <f>W398-X398</f>
        <v>0</v>
      </c>
      <c r="Z398" s="337">
        <v>0</v>
      </c>
      <c r="AA398" s="337">
        <v>0</v>
      </c>
      <c r="AB398" s="334">
        <v>0</v>
      </c>
      <c r="AC398" s="146"/>
      <c r="AK398" s="146"/>
      <c r="AL398" s="146"/>
      <c r="AM398" s="146"/>
      <c r="AN398" s="146"/>
    </row>
    <row r="399" spans="2:40" x14ac:dyDescent="0.25">
      <c r="B399" s="12" t="s">
        <v>13</v>
      </c>
      <c r="C399" s="12" t="s">
        <v>14</v>
      </c>
      <c r="D399" s="3" t="s">
        <v>10</v>
      </c>
      <c r="E399" s="52">
        <v>0</v>
      </c>
      <c r="F399" s="44">
        <f>IF(YEAR(Postup!$H$25)&gt;$D$384,Provozování!AI24,IF(AND(DAY(Postup!$H$25)=31,MONTH(Postup!$H$25)=12,YEAR(Postup!$H$25)=$D$384),Provozování!AI24,IF(YEAR(Postup!$H$25)=$D$384,Provozování!$BL24,0)))</f>
        <v>0</v>
      </c>
      <c r="G399" s="52">
        <v>0</v>
      </c>
      <c r="H399" s="30">
        <f>IF(YEAR(Postup!$H$25)&gt;$D$384,Provozování!AJ24,IF(AND(DAY(Postup!$H$25)=31,MONTH(Postup!$H$25)=12,YEAR(Postup!$H$25)=$D$384),Provozování!AJ24,IF(YEAR(Postup!$H$25)=$D$384,Provozování!$BM24,0)))</f>
        <v>0</v>
      </c>
      <c r="K399" s="12" t="s">
        <v>13</v>
      </c>
      <c r="L399" s="12" t="s">
        <v>14</v>
      </c>
      <c r="M399" s="3" t="s">
        <v>10</v>
      </c>
      <c r="N399" s="52">
        <v>0</v>
      </c>
      <c r="O399" s="44">
        <f>IF(Provozování!$AK$16="Neaktivní",0,Provozování!AK24)</f>
        <v>0</v>
      </c>
      <c r="P399" s="52">
        <v>0</v>
      </c>
      <c r="Q399" s="53">
        <f>IF(Provozování!$AK$16="Neaktivní",0,Provozování!AL24)</f>
        <v>0</v>
      </c>
      <c r="T399" s="12" t="s">
        <v>13</v>
      </c>
      <c r="U399" s="12" t="s">
        <v>14</v>
      </c>
      <c r="V399" s="3" t="s">
        <v>10</v>
      </c>
      <c r="W399" s="463">
        <v>0</v>
      </c>
      <c r="X399" s="44">
        <f>IF(Provozování!$AK$16="Neaktivní",F399,O399)</f>
        <v>0</v>
      </c>
      <c r="Y399" s="44">
        <f>W399-X399</f>
        <v>0</v>
      </c>
      <c r="Z399" s="463">
        <v>0</v>
      </c>
      <c r="AA399" s="44">
        <f>IF(Provozování!$AK$16="Neaktivní",H399,Q399)</f>
        <v>0</v>
      </c>
      <c r="AB399" s="30">
        <f>Z399-AA399</f>
        <v>0</v>
      </c>
      <c r="AC399" s="146"/>
      <c r="AK399" s="146"/>
      <c r="AL399" s="146"/>
      <c r="AM399" s="146"/>
      <c r="AN399" s="146"/>
    </row>
    <row r="400" spans="2:40" x14ac:dyDescent="0.25">
      <c r="B400" s="12" t="s">
        <v>15</v>
      </c>
      <c r="C400" s="13" t="s">
        <v>16</v>
      </c>
      <c r="D400" s="3" t="s">
        <v>10</v>
      </c>
      <c r="E400" s="30">
        <v>0</v>
      </c>
      <c r="F400" s="457">
        <f>IF(YEAR(Postup!$H$25)&gt;$D$384,Provozování!AI25,IF(AND(DAY(Postup!$H$25)=31,MONTH(Postup!$H$25)=12,YEAR(Postup!$H$25)=$D$384),Provozování!AI25,IF(YEAR(Postup!$H$25)=$D$384,Provozování!$BL25,0)))</f>
        <v>0</v>
      </c>
      <c r="G400" s="30">
        <v>0</v>
      </c>
      <c r="H400" s="457">
        <f>IF(YEAR(Postup!$H$25)&gt;$D$384,Provozování!AJ25,IF(AND(DAY(Postup!$H$25)=31,MONTH(Postup!$H$25)=12,YEAR(Postup!$H$25)=$D$384),Provozování!AJ25,IF(YEAR(Postup!$H$25)=$D$384,Provozování!$BM25,0)))</f>
        <v>0</v>
      </c>
      <c r="K400" s="12" t="s">
        <v>15</v>
      </c>
      <c r="L400" s="13" t="s">
        <v>16</v>
      </c>
      <c r="M400" s="3" t="s">
        <v>10</v>
      </c>
      <c r="N400" s="30">
        <v>0</v>
      </c>
      <c r="O400" s="457">
        <f>IF(Provozování!$AK$16="Neaktivní",0,Provozování!AK25)</f>
        <v>0</v>
      </c>
      <c r="P400" s="30">
        <v>0</v>
      </c>
      <c r="Q400" s="457">
        <f>IF(Provozování!$AK$16="Neaktivní",0,Provozování!AL25)</f>
        <v>0</v>
      </c>
      <c r="T400" s="12" t="s">
        <v>15</v>
      </c>
      <c r="U400" s="13" t="s">
        <v>16</v>
      </c>
      <c r="V400" s="3" t="s">
        <v>10</v>
      </c>
      <c r="W400" s="464">
        <v>0</v>
      </c>
      <c r="X400" s="44">
        <f>IF(Provozování!$AK$16="Neaktivní",F400,O400)</f>
        <v>0</v>
      </c>
      <c r="Y400" s="44">
        <f>W400-X400</f>
        <v>0</v>
      </c>
      <c r="Z400" s="464">
        <v>0</v>
      </c>
      <c r="AA400" s="44">
        <f>IF(Provozování!$AK$16="Neaktivní",H400,Q400)</f>
        <v>0</v>
      </c>
      <c r="AB400" s="30">
        <f>Z400-AA400</f>
        <v>0</v>
      </c>
      <c r="AC400" s="146"/>
      <c r="AK400" s="146"/>
      <c r="AL400" s="146"/>
      <c r="AM400" s="146"/>
      <c r="AN400" s="146"/>
    </row>
    <row r="401" spans="2:40" x14ac:dyDescent="0.25">
      <c r="B401" s="12" t="s">
        <v>17</v>
      </c>
      <c r="C401" s="13" t="s">
        <v>18</v>
      </c>
      <c r="D401" s="3" t="s">
        <v>10</v>
      </c>
      <c r="E401" s="87">
        <v>0</v>
      </c>
      <c r="F401" s="457">
        <f>IF(YEAR(Postup!$H$25)&gt;$D$384,Provozování!AI26,IF(AND(DAY(Postup!$H$25)=31,MONTH(Postup!$H$25)=12,YEAR(Postup!$H$25)=$D$384),Provozování!AI26,IF(YEAR(Postup!$H$25)=$D$384,Provozování!$BL26,0)))</f>
        <v>0</v>
      </c>
      <c r="G401" s="87">
        <v>0</v>
      </c>
      <c r="H401" s="457">
        <f>IF(YEAR(Postup!$H$25)&gt;$D$384,Provozování!AJ26,IF(AND(DAY(Postup!$H$25)=31,MONTH(Postup!$H$25)=12,YEAR(Postup!$H$25)=$D$384),Provozování!AJ26,IF(YEAR(Postup!$H$25)=$D$384,Provozování!$BM26,0)))</f>
        <v>0</v>
      </c>
      <c r="K401" s="12" t="s">
        <v>17</v>
      </c>
      <c r="L401" s="13" t="s">
        <v>18</v>
      </c>
      <c r="M401" s="3" t="s">
        <v>10</v>
      </c>
      <c r="N401" s="87">
        <v>0</v>
      </c>
      <c r="O401" s="457">
        <f>IF(Provozování!$AK$16="Neaktivní",0,Provozování!AK26)</f>
        <v>0</v>
      </c>
      <c r="P401" s="87">
        <v>0</v>
      </c>
      <c r="Q401" s="457">
        <f>IF(Provozování!$AK$16="Neaktivní",0,Provozování!AL26)</f>
        <v>0</v>
      </c>
      <c r="T401" s="12" t="s">
        <v>17</v>
      </c>
      <c r="U401" s="13" t="s">
        <v>18</v>
      </c>
      <c r="V401" s="3" t="s">
        <v>10</v>
      </c>
      <c r="W401" s="465">
        <v>0</v>
      </c>
      <c r="X401" s="44">
        <f>IF(Provozování!$AK$16="Neaktivní",F401,O401)</f>
        <v>0</v>
      </c>
      <c r="Y401" s="44">
        <f>W401-X401</f>
        <v>0</v>
      </c>
      <c r="Z401" s="465">
        <v>0</v>
      </c>
      <c r="AA401" s="44">
        <f>IF(Provozování!$AK$16="Neaktivní",H401,Q401)</f>
        <v>0</v>
      </c>
      <c r="AB401" s="30">
        <f>Z401-AA401</f>
        <v>0</v>
      </c>
      <c r="AC401" s="146"/>
      <c r="AK401" s="146"/>
      <c r="AL401" s="146"/>
      <c r="AM401" s="146"/>
      <c r="AN401" s="146"/>
    </row>
    <row r="402" spans="2:40" x14ac:dyDescent="0.25">
      <c r="B402" s="9" t="s">
        <v>19</v>
      </c>
      <c r="C402" s="10" t="s">
        <v>20</v>
      </c>
      <c r="D402" s="11" t="s">
        <v>10</v>
      </c>
      <c r="E402" s="88">
        <f>SUM(E403:E404)</f>
        <v>0</v>
      </c>
      <c r="F402" s="88">
        <f>SUM(F403:F404)</f>
        <v>0</v>
      </c>
      <c r="G402" s="88">
        <f>SUM(G403:G404)</f>
        <v>0</v>
      </c>
      <c r="H402" s="86">
        <f>SUM(H403:H404)</f>
        <v>0</v>
      </c>
      <c r="K402" s="9" t="s">
        <v>19</v>
      </c>
      <c r="L402" s="10" t="s">
        <v>20</v>
      </c>
      <c r="M402" s="11" t="s">
        <v>10</v>
      </c>
      <c r="N402" s="88">
        <f>SUM(N403:N404)</f>
        <v>0</v>
      </c>
      <c r="O402" s="88">
        <f>SUM(O403:O404)</f>
        <v>0</v>
      </c>
      <c r="P402" s="88">
        <f>SUM(P403:P404)</f>
        <v>0</v>
      </c>
      <c r="Q402" s="86">
        <f>SUM(Q403:Q404)</f>
        <v>0</v>
      </c>
      <c r="T402" s="9" t="s">
        <v>19</v>
      </c>
      <c r="U402" s="10" t="s">
        <v>20</v>
      </c>
      <c r="V402" s="11" t="s">
        <v>10</v>
      </c>
      <c r="W402" s="86">
        <f t="shared" ref="W402:AB402" si="43">SUM(W403:W404)</f>
        <v>0</v>
      </c>
      <c r="X402" s="86">
        <f t="shared" si="43"/>
        <v>0</v>
      </c>
      <c r="Y402" s="86">
        <f t="shared" si="43"/>
        <v>0</v>
      </c>
      <c r="Z402" s="86">
        <f t="shared" si="43"/>
        <v>0</v>
      </c>
      <c r="AA402" s="86">
        <f t="shared" si="43"/>
        <v>0</v>
      </c>
      <c r="AB402" s="86">
        <f t="shared" si="43"/>
        <v>0</v>
      </c>
      <c r="AC402" s="146"/>
      <c r="AK402" s="146"/>
      <c r="AL402" s="146"/>
      <c r="AM402" s="146"/>
      <c r="AN402" s="146"/>
    </row>
    <row r="403" spans="2:40" x14ac:dyDescent="0.25">
      <c r="B403" s="12" t="s">
        <v>21</v>
      </c>
      <c r="C403" s="12" t="s">
        <v>22</v>
      </c>
      <c r="D403" s="3" t="s">
        <v>10</v>
      </c>
      <c r="E403" s="30">
        <v>0</v>
      </c>
      <c r="F403" s="457">
        <f>IF(YEAR(Postup!$H$25)&gt;$D$384,Provozování!AI28,IF(AND(DAY(Postup!$H$25)=31,MONTH(Postup!$H$25)=12,YEAR(Postup!$H$25)=$D$384),Provozování!AI28,IF(YEAR(Postup!$H$25)=$D$384,Provozování!$BL28,0)))</f>
        <v>0</v>
      </c>
      <c r="G403" s="30">
        <v>0</v>
      </c>
      <c r="H403" s="457">
        <f>IF(YEAR(Postup!$H$25)&gt;$D$384,Provozování!AJ28,IF(AND(DAY(Postup!$H$25)=31,MONTH(Postup!$H$25)=12,YEAR(Postup!$H$25)=$D$384),Provozování!AJ28,IF(YEAR(Postup!$H$25)=$D$384,Provozování!$BM28,0)))</f>
        <v>0</v>
      </c>
      <c r="K403" s="12" t="s">
        <v>21</v>
      </c>
      <c r="L403" s="12" t="s">
        <v>22</v>
      </c>
      <c r="M403" s="3" t="s">
        <v>10</v>
      </c>
      <c r="N403" s="30">
        <v>0</v>
      </c>
      <c r="O403" s="457">
        <f>IF(Provozování!$AK$16="Neaktivní",0,Provozování!AK28)</f>
        <v>0</v>
      </c>
      <c r="P403" s="30">
        <v>0</v>
      </c>
      <c r="Q403" s="457">
        <f>IF(Provozování!$AK$16="Neaktivní",0,Provozování!AL28)</f>
        <v>0</v>
      </c>
      <c r="T403" s="12" t="s">
        <v>21</v>
      </c>
      <c r="U403" s="12" t="s">
        <v>22</v>
      </c>
      <c r="V403" s="3" t="s">
        <v>10</v>
      </c>
      <c r="W403" s="462">
        <v>0</v>
      </c>
      <c r="X403" s="44">
        <f>IF(Provozování!$AK$16="Neaktivní",F403,O403)</f>
        <v>0</v>
      </c>
      <c r="Y403" s="44">
        <f>W403-X403</f>
        <v>0</v>
      </c>
      <c r="Z403" s="464">
        <v>0</v>
      </c>
      <c r="AA403" s="44">
        <f>IF(Provozování!$AK$16="Neaktivní",H403,Q403)</f>
        <v>0</v>
      </c>
      <c r="AB403" s="30">
        <f>Z403-AA403</f>
        <v>0</v>
      </c>
      <c r="AC403" s="146"/>
      <c r="AK403" s="146"/>
      <c r="AL403" s="146"/>
      <c r="AM403" s="146"/>
      <c r="AN403" s="146"/>
    </row>
    <row r="404" spans="2:40" x14ac:dyDescent="0.25">
      <c r="B404" s="12" t="s">
        <v>23</v>
      </c>
      <c r="C404" s="12" t="s">
        <v>24</v>
      </c>
      <c r="D404" s="3" t="s">
        <v>10</v>
      </c>
      <c r="E404" s="87">
        <v>0</v>
      </c>
      <c r="F404" s="457">
        <f>IF(YEAR(Postup!$H$25)&gt;$D$384,Provozování!AI29,IF(AND(DAY(Postup!$H$25)=31,MONTH(Postup!$H$25)=12,YEAR(Postup!$H$25)=$D$384),Provozování!AI29,IF(YEAR(Postup!$H$25)=$D$384,Provozování!$BL29,0)))</f>
        <v>0</v>
      </c>
      <c r="G404" s="87">
        <v>0</v>
      </c>
      <c r="H404" s="457">
        <f>IF(YEAR(Postup!$H$25)&gt;$D$384,Provozování!AJ29,IF(AND(DAY(Postup!$H$25)=31,MONTH(Postup!$H$25)=12,YEAR(Postup!$H$25)=$D$384),Provozování!AJ29,IF(YEAR(Postup!$H$25)=$D$384,Provozování!$BM29,0)))</f>
        <v>0</v>
      </c>
      <c r="K404" s="12" t="s">
        <v>23</v>
      </c>
      <c r="L404" s="12" t="s">
        <v>24</v>
      </c>
      <c r="M404" s="3" t="s">
        <v>10</v>
      </c>
      <c r="N404" s="87">
        <v>0</v>
      </c>
      <c r="O404" s="457">
        <f>IF(Provozování!$AK$16="Neaktivní",0,Provozování!AK29)</f>
        <v>0</v>
      </c>
      <c r="P404" s="87">
        <v>0</v>
      </c>
      <c r="Q404" s="457">
        <f>IF(Provozování!$AK$16="Neaktivní",0,Provozování!AL29)</f>
        <v>0</v>
      </c>
      <c r="T404" s="12" t="s">
        <v>23</v>
      </c>
      <c r="U404" s="12" t="s">
        <v>24</v>
      </c>
      <c r="V404" s="3" t="s">
        <v>10</v>
      </c>
      <c r="W404" s="463">
        <v>0</v>
      </c>
      <c r="X404" s="44">
        <f>IF(Provozování!$AK$16="Neaktivní",F404,O404)</f>
        <v>0</v>
      </c>
      <c r="Y404" s="44">
        <f>W404-X404</f>
        <v>0</v>
      </c>
      <c r="Z404" s="465">
        <v>0</v>
      </c>
      <c r="AA404" s="44">
        <f>IF(Provozování!$AK$16="Neaktivní",H404,Q404)</f>
        <v>0</v>
      </c>
      <c r="AB404" s="30">
        <f>Z404-AA404</f>
        <v>0</v>
      </c>
      <c r="AC404" s="146"/>
      <c r="AK404" s="146"/>
      <c r="AL404" s="146"/>
      <c r="AM404" s="146"/>
      <c r="AN404" s="146"/>
    </row>
    <row r="405" spans="2:40" x14ac:dyDescent="0.25">
      <c r="B405" s="9" t="s">
        <v>25</v>
      </c>
      <c r="C405" s="10" t="s">
        <v>400</v>
      </c>
      <c r="D405" s="11" t="s">
        <v>10</v>
      </c>
      <c r="E405" s="41">
        <f>SUM(E406:E407)</f>
        <v>0</v>
      </c>
      <c r="F405" s="41">
        <f>SUM(F406:F407)</f>
        <v>0</v>
      </c>
      <c r="G405" s="41">
        <f>SUM(G406:G407)</f>
        <v>0</v>
      </c>
      <c r="H405" s="86">
        <f>SUM(H406:H407)</f>
        <v>0</v>
      </c>
      <c r="K405" s="9" t="s">
        <v>25</v>
      </c>
      <c r="L405" s="10" t="s">
        <v>400</v>
      </c>
      <c r="M405" s="11" t="s">
        <v>10</v>
      </c>
      <c r="N405" s="41">
        <f>SUM(N406:N407)</f>
        <v>0</v>
      </c>
      <c r="O405" s="41">
        <f>SUM(O406:O407)</f>
        <v>0</v>
      </c>
      <c r="P405" s="41">
        <f>SUM(P406:P407)</f>
        <v>0</v>
      </c>
      <c r="Q405" s="86">
        <f>SUM(Q406:Q407)</f>
        <v>0</v>
      </c>
      <c r="T405" s="9" t="s">
        <v>25</v>
      </c>
      <c r="U405" s="10" t="s">
        <v>400</v>
      </c>
      <c r="V405" s="11" t="s">
        <v>10</v>
      </c>
      <c r="W405" s="86">
        <f t="shared" ref="W405:AB405" si="44">SUM(W406:W407)</f>
        <v>0</v>
      </c>
      <c r="X405" s="86">
        <f t="shared" si="44"/>
        <v>0</v>
      </c>
      <c r="Y405" s="86">
        <f t="shared" si="44"/>
        <v>0</v>
      </c>
      <c r="Z405" s="86">
        <f t="shared" si="44"/>
        <v>0</v>
      </c>
      <c r="AA405" s="86">
        <f t="shared" si="44"/>
        <v>0</v>
      </c>
      <c r="AB405" s="86">
        <f t="shared" si="44"/>
        <v>0</v>
      </c>
      <c r="AC405" s="146"/>
      <c r="AD405" s="146"/>
      <c r="AK405" s="146"/>
      <c r="AL405" s="146"/>
      <c r="AM405" s="146"/>
      <c r="AN405" s="146"/>
    </row>
    <row r="406" spans="2:40" x14ac:dyDescent="0.25">
      <c r="B406" s="12" t="s">
        <v>26</v>
      </c>
      <c r="C406" s="13" t="s">
        <v>390</v>
      </c>
      <c r="D406" s="3" t="s">
        <v>10</v>
      </c>
      <c r="E406" s="44">
        <v>0</v>
      </c>
      <c r="F406" s="457">
        <f>IF(YEAR(Postup!$H$25)&gt;$D$384,Provozování!AI31,IF(AND(DAY(Postup!$H$25)=31,MONTH(Postup!$H$25)=12,YEAR(Postup!$H$25)=$D$384),Provozování!AI31,IF(YEAR(Postup!$H$25)=$D$384,Provozování!$BL31,0)))</f>
        <v>0</v>
      </c>
      <c r="G406" s="44">
        <v>0</v>
      </c>
      <c r="H406" s="457">
        <f>IF(YEAR(Postup!$H$25)&gt;$D$384,Provozování!AJ31,IF(AND(DAY(Postup!$H$25)=31,MONTH(Postup!$H$25)=12,YEAR(Postup!$H$25)=$D$384),Provozování!AJ31,IF(YEAR(Postup!$H$25)=$D$384,Provozování!$BM31,0)))</f>
        <v>0</v>
      </c>
      <c r="K406" s="12" t="s">
        <v>26</v>
      </c>
      <c r="L406" s="13" t="s">
        <v>390</v>
      </c>
      <c r="M406" s="3" t="s">
        <v>10</v>
      </c>
      <c r="N406" s="44">
        <v>0</v>
      </c>
      <c r="O406" s="457">
        <f>IF(Provozování!$AK$16="Neaktivní",0,Provozování!AK31)</f>
        <v>0</v>
      </c>
      <c r="P406" s="44">
        <v>0</v>
      </c>
      <c r="Q406" s="457">
        <f>IF(Provozování!$AK$16="Neaktivní",0,Provozování!AL31)</f>
        <v>0</v>
      </c>
      <c r="T406" s="12" t="s">
        <v>26</v>
      </c>
      <c r="U406" s="13" t="s">
        <v>390</v>
      </c>
      <c r="V406" s="3" t="s">
        <v>10</v>
      </c>
      <c r="W406" s="462">
        <v>0</v>
      </c>
      <c r="X406" s="44">
        <f>IF(Provozování!$AK$16="Neaktivní",F406,O406)</f>
        <v>0</v>
      </c>
      <c r="Y406" s="44">
        <f>W406-X406</f>
        <v>0</v>
      </c>
      <c r="Z406" s="462">
        <v>0</v>
      </c>
      <c r="AA406" s="44">
        <f>IF(Provozování!$AK$16="Neaktivní",H406,Q406)</f>
        <v>0</v>
      </c>
      <c r="AB406" s="30">
        <f>Z406-AA406</f>
        <v>0</v>
      </c>
      <c r="AC406" s="146"/>
      <c r="AD406" s="146"/>
      <c r="AK406" s="146"/>
      <c r="AL406" s="146"/>
      <c r="AM406" s="146"/>
      <c r="AN406" s="146"/>
    </row>
    <row r="407" spans="2:40" x14ac:dyDescent="0.25">
      <c r="B407" s="12" t="s">
        <v>27</v>
      </c>
      <c r="C407" s="13" t="s">
        <v>401</v>
      </c>
      <c r="D407" s="3" t="s">
        <v>10</v>
      </c>
      <c r="E407" s="44">
        <v>0</v>
      </c>
      <c r="F407" s="457">
        <f>IF(YEAR(Postup!$H$25)&gt;$D$384,Provozování!AI32,IF(AND(DAY(Postup!$H$25)=31,MONTH(Postup!$H$25)=12,YEAR(Postup!$H$25)=$D$384),Provozování!AI32,IF(YEAR(Postup!$H$25)=$D$384,Provozování!$BL32,0)))</f>
        <v>0</v>
      </c>
      <c r="G407" s="44">
        <v>0</v>
      </c>
      <c r="H407" s="457">
        <f>IF(YEAR(Postup!$H$25)&gt;$D$384,Provozování!AJ32,IF(AND(DAY(Postup!$H$25)=31,MONTH(Postup!$H$25)=12,YEAR(Postup!$H$25)=$D$384),Provozování!AJ32,IF(YEAR(Postup!$H$25)=$D$384,Provozování!$BM32,0)))</f>
        <v>0</v>
      </c>
      <c r="K407" s="12" t="s">
        <v>27</v>
      </c>
      <c r="L407" s="13" t="s">
        <v>401</v>
      </c>
      <c r="M407" s="3" t="s">
        <v>10</v>
      </c>
      <c r="N407" s="44">
        <v>0</v>
      </c>
      <c r="O407" s="457">
        <f>IF(Provozování!$AK$16="Neaktivní",0,Provozování!AK32)</f>
        <v>0</v>
      </c>
      <c r="P407" s="44">
        <v>0</v>
      </c>
      <c r="Q407" s="457">
        <f>IF(Provozování!$AK$16="Neaktivní",0,Provozování!AL32)</f>
        <v>0</v>
      </c>
      <c r="T407" s="12" t="s">
        <v>27</v>
      </c>
      <c r="U407" s="13" t="s">
        <v>401</v>
      </c>
      <c r="V407" s="3" t="s">
        <v>10</v>
      </c>
      <c r="W407" s="462">
        <v>0</v>
      </c>
      <c r="X407" s="44">
        <f>IF(Provozování!$AK$16="Neaktivní",F407,O407)</f>
        <v>0</v>
      </c>
      <c r="Y407" s="44">
        <f>W407-X407</f>
        <v>0</v>
      </c>
      <c r="Z407" s="462">
        <v>0</v>
      </c>
      <c r="AA407" s="44">
        <f>IF(Provozování!$AK$16="Neaktivní",H407,Q407)</f>
        <v>0</v>
      </c>
      <c r="AB407" s="30">
        <f>Z407-AA407</f>
        <v>0</v>
      </c>
      <c r="AC407" s="146"/>
      <c r="AD407" s="146"/>
      <c r="AK407" s="146"/>
      <c r="AL407" s="146"/>
      <c r="AM407" s="146"/>
      <c r="AN407" s="146"/>
    </row>
    <row r="408" spans="2:40" x14ac:dyDescent="0.25">
      <c r="B408" s="9" t="s">
        <v>28</v>
      </c>
      <c r="C408" s="10" t="s">
        <v>29</v>
      </c>
      <c r="D408" s="11" t="s">
        <v>10</v>
      </c>
      <c r="E408" s="41">
        <f>SUM(E409:E412)</f>
        <v>0</v>
      </c>
      <c r="F408" s="41">
        <f>SUM(F409:F412)</f>
        <v>0</v>
      </c>
      <c r="G408" s="41">
        <f>SUM(G409:G412)</f>
        <v>0</v>
      </c>
      <c r="H408" s="86">
        <f>SUM(H409:H412)</f>
        <v>0</v>
      </c>
      <c r="K408" s="9" t="s">
        <v>28</v>
      </c>
      <c r="L408" s="10" t="s">
        <v>29</v>
      </c>
      <c r="M408" s="11" t="s">
        <v>10</v>
      </c>
      <c r="N408" s="41">
        <f>SUM(N409:N412)</f>
        <v>0</v>
      </c>
      <c r="O408" s="41">
        <f>SUM(O409:O412)</f>
        <v>0</v>
      </c>
      <c r="P408" s="41">
        <f>SUM(P409:P412)</f>
        <v>0</v>
      </c>
      <c r="Q408" s="86">
        <f>SUM(Q409:Q412)</f>
        <v>0</v>
      </c>
      <c r="T408" s="9" t="s">
        <v>28</v>
      </c>
      <c r="U408" s="10" t="s">
        <v>29</v>
      </c>
      <c r="V408" s="11" t="s">
        <v>10</v>
      </c>
      <c r="W408" s="86">
        <f t="shared" ref="W408:AB408" si="45">SUM(W409:W412)</f>
        <v>0</v>
      </c>
      <c r="X408" s="86">
        <f t="shared" si="45"/>
        <v>0</v>
      </c>
      <c r="Y408" s="86">
        <f t="shared" si="45"/>
        <v>0</v>
      </c>
      <c r="Z408" s="86">
        <f t="shared" si="45"/>
        <v>0</v>
      </c>
      <c r="AA408" s="86">
        <f t="shared" si="45"/>
        <v>0</v>
      </c>
      <c r="AB408" s="86">
        <f t="shared" si="45"/>
        <v>0</v>
      </c>
      <c r="AC408" s="146"/>
      <c r="AD408" s="146"/>
      <c r="AK408" s="146"/>
      <c r="AL408" s="146"/>
      <c r="AM408" s="146"/>
      <c r="AN408" s="146"/>
    </row>
    <row r="409" spans="2:40" x14ac:dyDescent="0.25">
      <c r="B409" s="12" t="s">
        <v>30</v>
      </c>
      <c r="C409" s="21" t="s">
        <v>381</v>
      </c>
      <c r="D409" s="3" t="s">
        <v>10</v>
      </c>
      <c r="E409" s="44">
        <v>0</v>
      </c>
      <c r="F409" s="666">
        <f>IF(YEAR(Postup!$H$25)&gt;$D$384,Provozování!AI34,IF(AND(DAY(Postup!$H$25)=31,MONTH(Postup!$H$25)=12,YEAR(Postup!$H$25)=$D$384),Provozování!AI34,IF(YEAR(Postup!$H$25)=$D$384,Provozování!$BL34,0)))</f>
        <v>0</v>
      </c>
      <c r="G409" s="44">
        <v>0</v>
      </c>
      <c r="H409" s="667">
        <f>IF(YEAR(Postup!$H$25)&gt;$D$384,Provozování!AJ34,IF(AND(DAY(Postup!$H$25)=31,MONTH(Postup!$H$25)=12,YEAR(Postup!$H$25)=$D$384),Provozování!AJ34,IF(YEAR(Postup!$H$25)=$D$384,Provozování!$BM34,0)))</f>
        <v>0</v>
      </c>
      <c r="K409" s="12" t="s">
        <v>30</v>
      </c>
      <c r="L409" s="12" t="s">
        <v>381</v>
      </c>
      <c r="M409" s="3" t="s">
        <v>10</v>
      </c>
      <c r="N409" s="44">
        <v>0</v>
      </c>
      <c r="O409" s="44">
        <f>IF(Provozování!$AK$16="Neaktivní",0,Provozování!AK34)</f>
        <v>0</v>
      </c>
      <c r="P409" s="44">
        <v>0</v>
      </c>
      <c r="Q409" s="53">
        <f>IF(Provozování!$AK$16="Neaktivní",0,Provozování!AL34)</f>
        <v>0</v>
      </c>
      <c r="T409" s="12" t="s">
        <v>30</v>
      </c>
      <c r="U409" s="12" t="s">
        <v>381</v>
      </c>
      <c r="V409" s="3" t="s">
        <v>10</v>
      </c>
      <c r="W409" s="462">
        <v>0</v>
      </c>
      <c r="X409" s="44">
        <f>IF(Provozování!$AK$16="Neaktivní",F409,O409)</f>
        <v>0</v>
      </c>
      <c r="Y409" s="44">
        <f>W409-X409</f>
        <v>0</v>
      </c>
      <c r="Z409" s="462">
        <v>0</v>
      </c>
      <c r="AA409" s="44">
        <f>IF(Provozování!$AK$16="Neaktivní",H409,Q409)</f>
        <v>0</v>
      </c>
      <c r="AB409" s="30">
        <f>Z409-AA409</f>
        <v>0</v>
      </c>
      <c r="AC409" s="146"/>
      <c r="AD409" s="146"/>
      <c r="AK409" s="146"/>
      <c r="AL409" s="146"/>
      <c r="AM409" s="146"/>
      <c r="AN409" s="146"/>
    </row>
    <row r="410" spans="2:40" x14ac:dyDescent="0.25">
      <c r="B410" s="12" t="s">
        <v>32</v>
      </c>
      <c r="C410" s="13" t="s">
        <v>383</v>
      </c>
      <c r="D410" s="3" t="s">
        <v>10</v>
      </c>
      <c r="E410" s="44">
        <v>0</v>
      </c>
      <c r="F410" s="336">
        <f>IF(YEAR(Postup!$H$25)&gt;$D$384,Provozování!AI35,IF(AND(DAY(Postup!$H$25)=31,MONTH(Postup!$H$25)=12,YEAR(Postup!$H$25)=$D$384),Provozování!AI35,IF(YEAR(Postup!$H$25)=$D$384,Provozování!$BL35,0)))</f>
        <v>0</v>
      </c>
      <c r="G410" s="44">
        <v>0</v>
      </c>
      <c r="H410" s="335">
        <f>IF(YEAR(Postup!$H$25)&gt;$D$384,Provozování!AJ35,IF(AND(DAY(Postup!$H$25)=31,MONTH(Postup!$H$25)=12,YEAR(Postup!$H$25)=$D$384),Provozování!AJ35,IF(YEAR(Postup!$H$25)=$D$384,Provozování!$BM35,0)))</f>
        <v>0</v>
      </c>
      <c r="K410" s="12" t="s">
        <v>32</v>
      </c>
      <c r="L410" s="12" t="s">
        <v>383</v>
      </c>
      <c r="M410" s="3" t="s">
        <v>10</v>
      </c>
      <c r="N410" s="44">
        <v>0</v>
      </c>
      <c r="O410" s="456">
        <f>IF(Provozování!$AK$16="Neaktivní",0,Provozování!AK35)</f>
        <v>0</v>
      </c>
      <c r="P410" s="44">
        <v>0</v>
      </c>
      <c r="Q410" s="461">
        <f>IF(Provozování!$AK$16="Neaktivní",0,Provozování!AL35)</f>
        <v>0</v>
      </c>
      <c r="T410" s="12" t="s">
        <v>32</v>
      </c>
      <c r="U410" s="12" t="s">
        <v>383</v>
      </c>
      <c r="V410" s="3" t="s">
        <v>10</v>
      </c>
      <c r="W410" s="640">
        <f>IF(Provozování!$AK$16="Aktivní",O410,F410)</f>
        <v>0</v>
      </c>
      <c r="X410" s="44">
        <f>IF(Provozování!$AK$16="Neaktivní",F410,O410)</f>
        <v>0</v>
      </c>
      <c r="Y410" s="44">
        <f>W410-X410</f>
        <v>0</v>
      </c>
      <c r="Z410" s="640">
        <f>IF(Provozování!$AK$16="Aktivní",Q410,H410)</f>
        <v>0</v>
      </c>
      <c r="AA410" s="44">
        <f>IF(Provozování!$AK$16="Neaktivní",H410,Q410)</f>
        <v>0</v>
      </c>
      <c r="AB410" s="30">
        <f>Z410-AA410</f>
        <v>0</v>
      </c>
      <c r="AC410" s="146"/>
      <c r="AD410" s="146"/>
      <c r="AK410" s="146"/>
      <c r="AL410" s="146"/>
      <c r="AM410" s="146"/>
      <c r="AN410" s="146"/>
    </row>
    <row r="411" spans="2:40" x14ac:dyDescent="0.25">
      <c r="B411" s="12" t="s">
        <v>33</v>
      </c>
      <c r="C411" s="13" t="s">
        <v>382</v>
      </c>
      <c r="D411" s="3" t="s">
        <v>10</v>
      </c>
      <c r="E411" s="44">
        <v>0</v>
      </c>
      <c r="F411" s="662">
        <f>IF(YEAR(Postup!$H$25)&gt;$D$384,Provozování!AI36,IF(AND(DAY(Postup!$H$25)=31,MONTH(Postup!$H$25)=12,YEAR(Postup!$H$25)=$D$384),Provozování!AI36,IF(YEAR(Postup!$H$25)=$D$384,Provozování!$BL36,0)))</f>
        <v>0</v>
      </c>
      <c r="G411" s="44">
        <v>0</v>
      </c>
      <c r="H411" s="663">
        <f>IF(YEAR(Postup!$H$25)&gt;$D$384,Provozování!AJ36,IF(AND(DAY(Postup!$H$25)=31,MONTH(Postup!$H$25)=12,YEAR(Postup!$H$25)=$D$384),Provozování!AJ36,IF(YEAR(Postup!$H$25)=$D$384,Provozování!$BM36,0)))</f>
        <v>0</v>
      </c>
      <c r="K411" s="12" t="s">
        <v>33</v>
      </c>
      <c r="L411" s="12" t="s">
        <v>382</v>
      </c>
      <c r="M411" s="3" t="s">
        <v>10</v>
      </c>
      <c r="N411" s="44">
        <v>0</v>
      </c>
      <c r="O411" s="44">
        <f>IF(Provozování!$AK$16="Neaktivní",0,Provozování!AK36)</f>
        <v>0</v>
      </c>
      <c r="P411" s="44">
        <v>0</v>
      </c>
      <c r="Q411" s="53">
        <f>IF(Provozování!$AK$16="Neaktivní",0,Provozování!AL36)</f>
        <v>0</v>
      </c>
      <c r="T411" s="12" t="s">
        <v>33</v>
      </c>
      <c r="U411" s="12" t="s">
        <v>382</v>
      </c>
      <c r="V411" s="3" t="s">
        <v>10</v>
      </c>
      <c r="W411" s="462">
        <v>0</v>
      </c>
      <c r="X411" s="44">
        <f>IF(Provozování!$AK$16="Neaktivní",F411,O411)</f>
        <v>0</v>
      </c>
      <c r="Y411" s="44">
        <f>W411-X411</f>
        <v>0</v>
      </c>
      <c r="Z411" s="462">
        <v>0</v>
      </c>
      <c r="AA411" s="44">
        <f>IF(Provozování!$AK$16="Neaktivní",H411,Q411)</f>
        <v>0</v>
      </c>
      <c r="AB411" s="30">
        <f>Z411-AA411</f>
        <v>0</v>
      </c>
      <c r="AC411" s="146"/>
      <c r="AD411" s="146"/>
      <c r="AK411" s="146"/>
      <c r="AL411" s="146"/>
      <c r="AM411" s="146"/>
      <c r="AN411" s="146"/>
    </row>
    <row r="412" spans="2:40" x14ac:dyDescent="0.25">
      <c r="B412" s="12" t="s">
        <v>34</v>
      </c>
      <c r="C412" s="21" t="s">
        <v>384</v>
      </c>
      <c r="D412" s="3" t="s">
        <v>10</v>
      </c>
      <c r="E412" s="44">
        <v>0</v>
      </c>
      <c r="F412" s="637">
        <f>IF(YEAR(Postup!$H$25)&gt;$D$384,Provozování!AI37,IF(AND(DAY(Postup!$H$25)=31,MONTH(Postup!$H$25)=12,YEAR(Postup!$H$25)=$D$384),Provozování!AI37,IF(YEAR(Postup!$H$25)=$D$384,Provozování!$BL37,0)))</f>
        <v>0</v>
      </c>
      <c r="G412" s="44">
        <v>0</v>
      </c>
      <c r="H412" s="636">
        <f>IF(YEAR(Postup!$H$25)&gt;$D$384,Provozování!AJ37,IF(AND(DAY(Postup!$H$25)=31,MONTH(Postup!$H$25)=12,YEAR(Postup!$H$25)=$D$384),Provozování!AJ37,IF(YEAR(Postup!$H$25)=$D$384,Provozování!$BM37,0)))</f>
        <v>0</v>
      </c>
      <c r="K412" s="12" t="s">
        <v>34</v>
      </c>
      <c r="L412" s="497" t="s">
        <v>384</v>
      </c>
      <c r="M412" s="3" t="s">
        <v>10</v>
      </c>
      <c r="N412" s="44">
        <v>0</v>
      </c>
      <c r="O412" s="456">
        <f>IF(Provozování!$AK$16="Neaktivní",0,Provozování!AK37)</f>
        <v>0</v>
      </c>
      <c r="P412" s="44">
        <v>0</v>
      </c>
      <c r="Q412" s="457">
        <f>IF(Provozování!$AK$16="Neaktivní",0,Provozování!AL37)</f>
        <v>0</v>
      </c>
      <c r="T412" s="12" t="s">
        <v>34</v>
      </c>
      <c r="U412" s="497" t="s">
        <v>384</v>
      </c>
      <c r="V412" s="3" t="s">
        <v>10</v>
      </c>
      <c r="W412" s="637">
        <f>IF(Provozování!$AK$16="Aktivní",O412,F412)</f>
        <v>0</v>
      </c>
      <c r="X412" s="337">
        <f>IF(Provozování!$AK$16="Neaktivní",F412,O412)</f>
        <v>0</v>
      </c>
      <c r="Y412" s="337">
        <f>W412-X412</f>
        <v>0</v>
      </c>
      <c r="Z412" s="637">
        <f>IF(Provozování!$AK$16="Aktivní",Q412,H412)</f>
        <v>0</v>
      </c>
      <c r="AA412" s="337">
        <f>IF(Provozování!$AK$16="Neaktivní",H412,Q412)</f>
        <v>0</v>
      </c>
      <c r="AB412" s="334">
        <f>Z412-AA412</f>
        <v>0</v>
      </c>
      <c r="AC412" s="146"/>
      <c r="AD412" s="146"/>
      <c r="AE412" s="1073" t="s">
        <v>291</v>
      </c>
      <c r="AF412" s="1074"/>
      <c r="AG412" s="339">
        <f>Y394</f>
        <v>2029</v>
      </c>
      <c r="AH412" s="339">
        <f>AG412</f>
        <v>2029</v>
      </c>
      <c r="AK412" s="146"/>
      <c r="AL412" s="146"/>
      <c r="AM412" s="146"/>
      <c r="AN412" s="146"/>
    </row>
    <row r="413" spans="2:40" x14ac:dyDescent="0.25">
      <c r="B413" s="9" t="s">
        <v>35</v>
      </c>
      <c r="C413" s="10" t="s">
        <v>387</v>
      </c>
      <c r="D413" s="11" t="s">
        <v>10</v>
      </c>
      <c r="E413" s="41">
        <f>SUM(E414:E416)</f>
        <v>0</v>
      </c>
      <c r="F413" s="41">
        <f>SUM(F414:F416)</f>
        <v>0</v>
      </c>
      <c r="G413" s="41">
        <f>SUM(G414:G416)</f>
        <v>0</v>
      </c>
      <c r="H413" s="86">
        <f>SUM(H414:H416)</f>
        <v>0</v>
      </c>
      <c r="K413" s="9" t="s">
        <v>35</v>
      </c>
      <c r="L413" s="10" t="s">
        <v>387</v>
      </c>
      <c r="M413" s="11" t="s">
        <v>10</v>
      </c>
      <c r="N413" s="41">
        <f>SUM(N414:N416)</f>
        <v>0</v>
      </c>
      <c r="O413" s="41">
        <f>SUM(O414:O416)</f>
        <v>0</v>
      </c>
      <c r="P413" s="41">
        <f>SUM(P414:P416)</f>
        <v>0</v>
      </c>
      <c r="Q413" s="86">
        <f>SUM(Q414:Q416)</f>
        <v>0</v>
      </c>
      <c r="T413" s="9" t="s">
        <v>35</v>
      </c>
      <c r="U413" s="10" t="s">
        <v>387</v>
      </c>
      <c r="V413" s="11" t="s">
        <v>10</v>
      </c>
      <c r="W413" s="86">
        <f t="shared" ref="W413:AB413" si="46">SUM(W414:W416)</f>
        <v>0</v>
      </c>
      <c r="X413" s="86">
        <f t="shared" si="46"/>
        <v>0</v>
      </c>
      <c r="Y413" s="86">
        <f t="shared" si="46"/>
        <v>0</v>
      </c>
      <c r="Z413" s="86">
        <f t="shared" si="46"/>
        <v>0</v>
      </c>
      <c r="AA413" s="86">
        <f t="shared" si="46"/>
        <v>0</v>
      </c>
      <c r="AB413" s="86">
        <f t="shared" si="46"/>
        <v>0</v>
      </c>
      <c r="AC413" s="146"/>
      <c r="AD413" s="146"/>
      <c r="AE413" s="1075"/>
      <c r="AF413" s="1076"/>
      <c r="AG413" s="1072" t="s">
        <v>238</v>
      </c>
      <c r="AH413" s="1072" t="s">
        <v>239</v>
      </c>
      <c r="AK413" s="146"/>
      <c r="AL413" s="146"/>
      <c r="AM413" s="146"/>
      <c r="AN413" s="146"/>
    </row>
    <row r="414" spans="2:40" x14ac:dyDescent="0.25">
      <c r="B414" s="12" t="s">
        <v>37</v>
      </c>
      <c r="C414" s="13" t="s">
        <v>38</v>
      </c>
      <c r="D414" s="3" t="s">
        <v>10</v>
      </c>
      <c r="E414" s="44">
        <v>0</v>
      </c>
      <c r="F414" s="337">
        <v>0</v>
      </c>
      <c r="G414" s="44">
        <v>0</v>
      </c>
      <c r="H414" s="30">
        <f>IF(YEAR(Postup!$H$25)&gt;$D$384,Provozování!AJ39,IF(AND(DAY(Postup!$H$25)=31,MONTH(Postup!$H$25)=12,YEAR(Postup!$H$25)=$D$384),Provozování!AJ39,IF(YEAR(Postup!$H$25)=$D$384,Provozování!$BM39,0)))</f>
        <v>0</v>
      </c>
      <c r="K414" s="12" t="s">
        <v>37</v>
      </c>
      <c r="L414" s="13" t="s">
        <v>38</v>
      </c>
      <c r="M414" s="3" t="s">
        <v>10</v>
      </c>
      <c r="N414" s="44">
        <v>0</v>
      </c>
      <c r="O414" s="337">
        <v>0</v>
      </c>
      <c r="P414" s="44">
        <v>0</v>
      </c>
      <c r="Q414" s="53">
        <f>IF(Provozování!$AK$16="Neaktivní",0,Provozování!AL39)</f>
        <v>0</v>
      </c>
      <c r="T414" s="12" t="s">
        <v>37</v>
      </c>
      <c r="U414" s="13" t="s">
        <v>38</v>
      </c>
      <c r="V414" s="3" t="s">
        <v>10</v>
      </c>
      <c r="W414" s="337">
        <v>0</v>
      </c>
      <c r="X414" s="337">
        <v>0</v>
      </c>
      <c r="Y414" s="337">
        <v>0</v>
      </c>
      <c r="Z414" s="462">
        <v>0</v>
      </c>
      <c r="AA414" s="44">
        <f>IF(Provozování!$AK$16="Neaktivní",H414,Q414)</f>
        <v>0</v>
      </c>
      <c r="AB414" s="30">
        <f>Z414-AA414</f>
        <v>0</v>
      </c>
      <c r="AC414" s="146"/>
      <c r="AD414" s="146"/>
      <c r="AE414" s="1077"/>
      <c r="AF414" s="1078"/>
      <c r="AG414" s="1000"/>
      <c r="AH414" s="1000"/>
      <c r="AK414" s="146"/>
      <c r="AL414" s="146"/>
      <c r="AM414" s="146"/>
      <c r="AN414" s="146"/>
    </row>
    <row r="415" spans="2:40" x14ac:dyDescent="0.25">
      <c r="B415" s="12" t="s">
        <v>39</v>
      </c>
      <c r="C415" s="12" t="s">
        <v>40</v>
      </c>
      <c r="D415" s="3" t="s">
        <v>10</v>
      </c>
      <c r="E415" s="44">
        <v>0</v>
      </c>
      <c r="F415" s="457">
        <f>IF(YEAR(Postup!$H$25)&gt;$D$384,Provozování!AI40,IF(AND(DAY(Postup!$H$25)=31,MONTH(Postup!$H$25)=12,YEAR(Postup!$H$25)=$D$384),Provozování!AI40,IF(YEAR(Postup!$H$25)=$D$384,Provozování!$BL40,0)))</f>
        <v>0</v>
      </c>
      <c r="G415" s="44">
        <v>0</v>
      </c>
      <c r="H415" s="457">
        <f>IF(YEAR(Postup!$H$25)&gt;$D$384,Provozování!AJ40,IF(AND(DAY(Postup!$H$25)=31,MONTH(Postup!$H$25)=12,YEAR(Postup!$H$25)=$D$384),Provozování!AJ40,IF(YEAR(Postup!$H$25)=$D$384,Provozování!$BM40,0)))</f>
        <v>0</v>
      </c>
      <c r="K415" s="12" t="s">
        <v>39</v>
      </c>
      <c r="L415" s="12" t="s">
        <v>40</v>
      </c>
      <c r="M415" s="3" t="s">
        <v>10</v>
      </c>
      <c r="N415" s="44">
        <v>0</v>
      </c>
      <c r="O415" s="457">
        <f>IF(Provozování!$AK$16="Neaktivní",0,Provozování!AK40)</f>
        <v>0</v>
      </c>
      <c r="P415" s="44">
        <v>0</v>
      </c>
      <c r="Q415" s="457">
        <f>IF(Provozování!$AK$16="Neaktivní",0,Provozování!AL40)</f>
        <v>0</v>
      </c>
      <c r="T415" s="12" t="s">
        <v>39</v>
      </c>
      <c r="U415" s="12" t="s">
        <v>40</v>
      </c>
      <c r="V415" s="3" t="s">
        <v>10</v>
      </c>
      <c r="W415" s="462">
        <v>0</v>
      </c>
      <c r="X415" s="44">
        <f>IF(Provozování!$AK$16="Neaktivní",F415,O415)</f>
        <v>0</v>
      </c>
      <c r="Y415" s="44">
        <f>W415-X415</f>
        <v>0</v>
      </c>
      <c r="Z415" s="462">
        <v>0</v>
      </c>
      <c r="AA415" s="44">
        <f>IF(Provozování!$AK$16="Neaktivní",H415,Q415)</f>
        <v>0</v>
      </c>
      <c r="AB415" s="30">
        <f>Z415-AA415</f>
        <v>0</v>
      </c>
      <c r="AC415" s="146"/>
      <c r="AD415" s="146"/>
      <c r="AE415" s="12" t="s">
        <v>326</v>
      </c>
      <c r="AF415" s="12" t="s">
        <v>329</v>
      </c>
      <c r="AG415" s="423">
        <f>Z450</f>
        <v>0</v>
      </c>
      <c r="AH415" s="423">
        <f>AB450</f>
        <v>0</v>
      </c>
      <c r="AK415" s="146"/>
      <c r="AL415" s="146"/>
      <c r="AM415" s="146"/>
      <c r="AN415" s="146"/>
    </row>
    <row r="416" spans="2:40" x14ac:dyDescent="0.25">
      <c r="B416" s="12" t="s">
        <v>41</v>
      </c>
      <c r="C416" s="13" t="s">
        <v>42</v>
      </c>
      <c r="D416" s="3" t="s">
        <v>10</v>
      </c>
      <c r="E416" s="44">
        <v>0</v>
      </c>
      <c r="F416" s="457">
        <f>IF(YEAR(Postup!$H$25)&gt;$D$384,Provozování!AI41,IF(AND(DAY(Postup!$H$25)=31,MONTH(Postup!$H$25)=12,YEAR(Postup!$H$25)=$D$384),Provozování!AI41,IF(YEAR(Postup!$H$25)=$D$384,Provozování!$BL41,0)))</f>
        <v>0</v>
      </c>
      <c r="G416" s="44">
        <v>0</v>
      </c>
      <c r="H416" s="457">
        <f>IF(YEAR(Postup!$H$25)&gt;$D$384,Provozování!AJ41,IF(AND(DAY(Postup!$H$25)=31,MONTH(Postup!$H$25)=12,YEAR(Postup!$H$25)=$D$384),Provozování!AJ41,IF(YEAR(Postup!$H$25)=$D$384,Provozování!$BM41,0)))</f>
        <v>0</v>
      </c>
      <c r="K416" s="12" t="s">
        <v>41</v>
      </c>
      <c r="L416" s="13" t="s">
        <v>42</v>
      </c>
      <c r="M416" s="3" t="s">
        <v>10</v>
      </c>
      <c r="N416" s="44">
        <v>0</v>
      </c>
      <c r="O416" s="457">
        <f>IF(Provozování!$AK$16="Neaktivní",0,Provozování!AK41)</f>
        <v>0</v>
      </c>
      <c r="P416" s="44">
        <v>0</v>
      </c>
      <c r="Q416" s="457">
        <f>IF(Provozování!$AK$16="Neaktivní",0,Provozování!AL41)</f>
        <v>0</v>
      </c>
      <c r="T416" s="12" t="s">
        <v>41</v>
      </c>
      <c r="U416" s="13" t="s">
        <v>42</v>
      </c>
      <c r="V416" s="3" t="s">
        <v>10</v>
      </c>
      <c r="W416" s="462">
        <v>0</v>
      </c>
      <c r="X416" s="44">
        <f>IF(Provozování!$AK$16="Neaktivní",F416,O416)</f>
        <v>0</v>
      </c>
      <c r="Y416" s="44">
        <f>W416-X416</f>
        <v>0</v>
      </c>
      <c r="Z416" s="462">
        <v>0</v>
      </c>
      <c r="AA416" s="44">
        <f>IF(Provozování!$AK$16="Neaktivní",H416,Q416)</f>
        <v>0</v>
      </c>
      <c r="AB416" s="30">
        <f>Z416-AA416</f>
        <v>0</v>
      </c>
      <c r="AC416" s="146"/>
      <c r="AD416" s="146"/>
      <c r="AE416" s="12" t="s">
        <v>327</v>
      </c>
      <c r="AF416" s="13" t="s">
        <v>331</v>
      </c>
      <c r="AG416" s="270">
        <f>Y449</f>
        <v>0</v>
      </c>
      <c r="AH416" s="270">
        <f>AA449</f>
        <v>0</v>
      </c>
      <c r="AK416" s="146"/>
      <c r="AL416" s="146"/>
      <c r="AM416" s="146"/>
      <c r="AN416" s="146"/>
    </row>
    <row r="417" spans="2:40" x14ac:dyDescent="0.25">
      <c r="B417" s="9" t="s">
        <v>43</v>
      </c>
      <c r="C417" s="10" t="s">
        <v>44</v>
      </c>
      <c r="D417" s="11" t="s">
        <v>10</v>
      </c>
      <c r="E417" s="44">
        <v>0</v>
      </c>
      <c r="F417" s="456">
        <f>IF(YEAR(Postup!$H$25)&gt;$D$384,Provozování!AI42,IF(AND(DAY(Postup!$H$25)=31,MONTH(Postup!$H$25)=12,YEAR(Postup!$H$25)=$D$384),Provozování!AI42,IF(YEAR(Postup!$H$25)=$D$384,Provozování!$BL42,0)))</f>
        <v>0</v>
      </c>
      <c r="G417" s="44">
        <v>0</v>
      </c>
      <c r="H417" s="457">
        <f>IF(YEAR(Postup!$H$25)&gt;$D$384,Provozování!AJ42,IF(AND(DAY(Postup!$H$25)=31,MONTH(Postup!$H$25)=12,YEAR(Postup!$H$25)=$D$384),Provozování!AJ42,IF(YEAR(Postup!$H$25)=$D$384,Provozování!$BM42,0)))</f>
        <v>0</v>
      </c>
      <c r="K417" s="9" t="s">
        <v>43</v>
      </c>
      <c r="L417" s="10" t="s">
        <v>44</v>
      </c>
      <c r="M417" s="11" t="s">
        <v>10</v>
      </c>
      <c r="N417" s="44">
        <v>0</v>
      </c>
      <c r="O417" s="456">
        <f>IF(Provozování!$AK$16="Neaktivní",0,Provozování!AK42)</f>
        <v>0</v>
      </c>
      <c r="P417" s="44">
        <v>0</v>
      </c>
      <c r="Q417" s="461">
        <f>IF(Provozování!$AK$16="Neaktivní",0,Provozování!AL42)</f>
        <v>0</v>
      </c>
      <c r="T417" s="9" t="s">
        <v>43</v>
      </c>
      <c r="U417" s="10" t="s">
        <v>44</v>
      </c>
      <c r="V417" s="11" t="s">
        <v>10</v>
      </c>
      <c r="W417" s="462">
        <v>0</v>
      </c>
      <c r="X417" s="44">
        <f>IF(Provozování!$AK$16="Neaktivní",F417,O417)</f>
        <v>0</v>
      </c>
      <c r="Y417" s="44">
        <f>W417-X417</f>
        <v>0</v>
      </c>
      <c r="Z417" s="462">
        <v>0</v>
      </c>
      <c r="AA417" s="44">
        <f>IF(Provozování!$AK$16="Neaktivní",H417,Q417)</f>
        <v>0</v>
      </c>
      <c r="AB417" s="30">
        <f>Z417-AA417</f>
        <v>0</v>
      </c>
      <c r="AC417" s="146"/>
      <c r="AD417" s="146"/>
      <c r="AE417" s="12" t="s">
        <v>328</v>
      </c>
      <c r="AF417" s="13" t="s">
        <v>330</v>
      </c>
      <c r="AG417" s="270">
        <f>Z449</f>
        <v>0</v>
      </c>
      <c r="AH417" s="270">
        <f>AB449</f>
        <v>0</v>
      </c>
      <c r="AK417" s="146"/>
      <c r="AL417" s="146"/>
      <c r="AM417" s="146"/>
      <c r="AN417" s="146"/>
    </row>
    <row r="418" spans="2:40" x14ac:dyDescent="0.25">
      <c r="B418" s="9" t="s">
        <v>45</v>
      </c>
      <c r="C418" s="10" t="s">
        <v>388</v>
      </c>
      <c r="D418" s="11" t="s">
        <v>10</v>
      </c>
      <c r="E418" s="44">
        <v>0</v>
      </c>
      <c r="F418" s="456">
        <f>IF(YEAR(Postup!$H$25)&gt;$D$384,Provozování!AI43,IF(AND(DAY(Postup!$H$25)=31,MONTH(Postup!$H$25)=12,YEAR(Postup!$H$25)=$D$384),Provozování!AI43,IF(YEAR(Postup!$H$25)=$D$384,Provozování!$BL43,0)))</f>
        <v>0</v>
      </c>
      <c r="G418" s="44">
        <v>0</v>
      </c>
      <c r="H418" s="457">
        <f>IF(YEAR(Postup!$H$25)&gt;$D$384,Provozování!AJ43,IF(AND(DAY(Postup!$H$25)=31,MONTH(Postup!$H$25)=12,YEAR(Postup!$H$25)=$D$384),Provozování!AJ43,IF(YEAR(Postup!$H$25)=$D$384,Provozování!$BM43,0)))</f>
        <v>0</v>
      </c>
      <c r="K418" s="9" t="s">
        <v>45</v>
      </c>
      <c r="L418" s="10" t="s">
        <v>388</v>
      </c>
      <c r="M418" s="11" t="s">
        <v>10</v>
      </c>
      <c r="N418" s="44">
        <v>0</v>
      </c>
      <c r="O418" s="456">
        <f>IF(Provozování!$AK$16="Neaktivní",0,Provozování!AK43)</f>
        <v>0</v>
      </c>
      <c r="P418" s="44">
        <v>0</v>
      </c>
      <c r="Q418" s="461">
        <f>IF(Provozování!$AK$16="Neaktivní",0,Provozování!AL43)</f>
        <v>0</v>
      </c>
      <c r="T418" s="9" t="s">
        <v>45</v>
      </c>
      <c r="U418" s="10" t="s">
        <v>388</v>
      </c>
      <c r="V418" s="11" t="s">
        <v>10</v>
      </c>
      <c r="W418" s="462">
        <v>0</v>
      </c>
      <c r="X418" s="44">
        <f>IF(Provozování!$AK$16="Neaktivní",F418,O418)</f>
        <v>0</v>
      </c>
      <c r="Y418" s="44">
        <f>ABS(W418)-ABS(X418)</f>
        <v>0</v>
      </c>
      <c r="Z418" s="462">
        <v>0</v>
      </c>
      <c r="AA418" s="44">
        <f>IF(Provozování!$AK$16="Neaktivní",H418,Q418)</f>
        <v>0</v>
      </c>
      <c r="AB418" s="30">
        <f>ABS(Z418)-ABS(AA418)</f>
        <v>0</v>
      </c>
      <c r="AC418" s="146"/>
      <c r="AD418" s="146"/>
      <c r="AE418" s="12" t="s">
        <v>332</v>
      </c>
      <c r="AF418" s="12" t="s">
        <v>340</v>
      </c>
      <c r="AG418" s="270">
        <f>X422-(X410+X412)</f>
        <v>0</v>
      </c>
      <c r="AH418" s="270">
        <f>AA422-(AA410+AA412)</f>
        <v>0</v>
      </c>
      <c r="AK418" s="146"/>
      <c r="AL418" s="146"/>
      <c r="AM418" s="146"/>
      <c r="AN418" s="146"/>
    </row>
    <row r="419" spans="2:40" x14ac:dyDescent="0.25">
      <c r="B419" s="9" t="s">
        <v>46</v>
      </c>
      <c r="C419" s="10" t="s">
        <v>47</v>
      </c>
      <c r="D419" s="11" t="s">
        <v>10</v>
      </c>
      <c r="E419" s="44">
        <v>0</v>
      </c>
      <c r="F419" s="457">
        <f>IF(YEAR(Postup!$H$25)&gt;$D$384,Provozování!AI44,IF(AND(DAY(Postup!$H$25)=31,MONTH(Postup!$H$25)=12,YEAR(Postup!$H$25)=$D$384),Provozování!AI44,IF(YEAR(Postup!$H$25)=$D$384,Provozování!$BL44,0)))</f>
        <v>0</v>
      </c>
      <c r="G419" s="44">
        <v>0</v>
      </c>
      <c r="H419" s="457">
        <f>IF(YEAR(Postup!$H$25)&gt;$D$384,Provozování!AJ44,IF(AND(DAY(Postup!$H$25)=31,MONTH(Postup!$H$25)=12,YEAR(Postup!$H$25)=$D$384),Provozování!AJ44,IF(YEAR(Postup!$H$25)=$D$384,Provozování!$BM44,0)))</f>
        <v>0</v>
      </c>
      <c r="K419" s="9" t="s">
        <v>46</v>
      </c>
      <c r="L419" s="10" t="s">
        <v>47</v>
      </c>
      <c r="M419" s="11" t="s">
        <v>10</v>
      </c>
      <c r="N419" s="44">
        <v>0</v>
      </c>
      <c r="O419" s="457">
        <f>IF(Provozování!$AK$16="Neaktivní",0,Provozování!AK44)</f>
        <v>0</v>
      </c>
      <c r="P419" s="44">
        <v>0</v>
      </c>
      <c r="Q419" s="457">
        <f>IF(Provozování!$AK$16="Neaktivní",0,Provozování!AL44)</f>
        <v>0</v>
      </c>
      <c r="T419" s="9" t="s">
        <v>46</v>
      </c>
      <c r="U419" s="10" t="s">
        <v>47</v>
      </c>
      <c r="V419" s="11" t="s">
        <v>10</v>
      </c>
      <c r="W419" s="462">
        <v>0</v>
      </c>
      <c r="X419" s="44">
        <f>IF(Provozování!$AK$16="Neaktivní",F419,O419)</f>
        <v>0</v>
      </c>
      <c r="Y419" s="44">
        <f>W419-X419</f>
        <v>0</v>
      </c>
      <c r="Z419" s="462">
        <v>0</v>
      </c>
      <c r="AA419" s="44">
        <f>IF(Provozování!$AK$16="Neaktivní",H419,Q419)</f>
        <v>0</v>
      </c>
      <c r="AB419" s="30">
        <f>Z419-AA419</f>
        <v>0</v>
      </c>
      <c r="AC419" s="146"/>
      <c r="AD419" s="146"/>
      <c r="AE419" s="12" t="s">
        <v>333</v>
      </c>
      <c r="AF419" s="12" t="s">
        <v>339</v>
      </c>
      <c r="AG419" s="270">
        <f>W422-(W410+W412)</f>
        <v>0</v>
      </c>
      <c r="AH419" s="270">
        <f>Z422-(Z410+Z412)</f>
        <v>0</v>
      </c>
      <c r="AK419" s="146"/>
      <c r="AL419" s="146"/>
      <c r="AM419" s="146"/>
      <c r="AN419" s="146"/>
    </row>
    <row r="420" spans="2:40" x14ac:dyDescent="0.25">
      <c r="B420" s="9" t="s">
        <v>48</v>
      </c>
      <c r="C420" s="10" t="s">
        <v>49</v>
      </c>
      <c r="D420" s="11" t="s">
        <v>10</v>
      </c>
      <c r="E420" s="44">
        <v>0</v>
      </c>
      <c r="F420" s="457">
        <f>IF(YEAR(Postup!$H$25)&gt;$D$384,Provozování!AI45,IF(AND(DAY(Postup!$H$25)=31,MONTH(Postup!$H$25)=12,YEAR(Postup!$H$25)=$D$384),Provozování!AI45,IF(YEAR(Postup!$H$25)=$D$384,Provozování!$BL45,0)))</f>
        <v>0</v>
      </c>
      <c r="G420" s="44">
        <v>0</v>
      </c>
      <c r="H420" s="457">
        <f>IF(YEAR(Postup!$H$25)&gt;$D$384,Provozování!AJ45,IF(AND(DAY(Postup!$H$25)=31,MONTH(Postup!$H$25)=12,YEAR(Postup!$H$25)=$D$384),Provozování!AJ45,IF(YEAR(Postup!$H$25)=$D$384,Provozování!$BM45,0)))</f>
        <v>0</v>
      </c>
      <c r="K420" s="9" t="s">
        <v>48</v>
      </c>
      <c r="L420" s="10" t="s">
        <v>49</v>
      </c>
      <c r="M420" s="11" t="s">
        <v>10</v>
      </c>
      <c r="N420" s="44">
        <v>0</v>
      </c>
      <c r="O420" s="457">
        <f>IF(Provozování!$AK$16="Neaktivní",0,Provozování!AK45)</f>
        <v>0</v>
      </c>
      <c r="P420" s="44">
        <v>0</v>
      </c>
      <c r="Q420" s="457">
        <f>IF(Provozování!$AK$16="Neaktivní",0,Provozování!AL45)</f>
        <v>0</v>
      </c>
      <c r="T420" s="9" t="s">
        <v>48</v>
      </c>
      <c r="U420" s="10" t="s">
        <v>49</v>
      </c>
      <c r="V420" s="11" t="s">
        <v>10</v>
      </c>
      <c r="W420" s="462">
        <v>0</v>
      </c>
      <c r="X420" s="44">
        <f>IF(Provozování!$AK$16="Neaktivní",F420,O420)</f>
        <v>0</v>
      </c>
      <c r="Y420" s="44">
        <f>W420-X420</f>
        <v>0</v>
      </c>
      <c r="Z420" s="462">
        <v>0</v>
      </c>
      <c r="AA420" s="44">
        <f>IF(Provozování!$AK$16="Neaktivní",H420,Q420)</f>
        <v>0</v>
      </c>
      <c r="AB420" s="30">
        <f>Z420-AA420</f>
        <v>0</v>
      </c>
      <c r="AC420" s="146"/>
      <c r="AD420" s="146"/>
      <c r="AE420" s="12" t="s">
        <v>345</v>
      </c>
      <c r="AF420" s="12" t="s">
        <v>346</v>
      </c>
      <c r="AG420" s="270">
        <f>Provozování!AI$102</f>
        <v>0</v>
      </c>
      <c r="AH420" s="270">
        <f>Provozování!AJ$102</f>
        <v>0</v>
      </c>
      <c r="AK420" s="146"/>
      <c r="AL420" s="146"/>
      <c r="AM420" s="146"/>
      <c r="AN420" s="146"/>
    </row>
    <row r="421" spans="2:40" x14ac:dyDescent="0.25">
      <c r="B421" s="12" t="s">
        <v>386</v>
      </c>
      <c r="C421" s="12" t="s">
        <v>385</v>
      </c>
      <c r="D421" s="3" t="s">
        <v>10</v>
      </c>
      <c r="E421" s="44"/>
      <c r="F421" s="456">
        <f>Provozování!AI46</f>
        <v>0.02</v>
      </c>
      <c r="G421" s="44"/>
      <c r="H421" s="457">
        <f>Provozování!AJ46</f>
        <v>0.02</v>
      </c>
      <c r="K421" s="12" t="s">
        <v>386</v>
      </c>
      <c r="L421" s="12" t="s">
        <v>385</v>
      </c>
      <c r="M421" s="3" t="s">
        <v>10</v>
      </c>
      <c r="N421" s="44"/>
      <c r="O421" s="456">
        <f>IF(Provozování!$AK$16="Neaktivní",0,Provozování!AK46)</f>
        <v>0</v>
      </c>
      <c r="P421" s="44"/>
      <c r="Q421" s="457">
        <f>IF(Provozování!$AK$16="Neaktivní",0,Provozování!AL46)</f>
        <v>0</v>
      </c>
      <c r="T421" s="12" t="s">
        <v>386</v>
      </c>
      <c r="U421" s="12" t="s">
        <v>385</v>
      </c>
      <c r="V421" s="3" t="s">
        <v>10</v>
      </c>
      <c r="W421" s="462">
        <v>0</v>
      </c>
      <c r="X421" s="44"/>
      <c r="Y421" s="44"/>
      <c r="Z421" s="462">
        <v>0</v>
      </c>
      <c r="AA421" s="44"/>
      <c r="AB421" s="30"/>
      <c r="AC421" s="146"/>
      <c r="AD421" s="146"/>
      <c r="AE421" s="435" t="s">
        <v>349</v>
      </c>
      <c r="AF421" s="436"/>
      <c r="AG421" s="1066">
        <f>(AG415*AG416-AG415*AG417)+(AG418-AG419)-AG420</f>
        <v>0</v>
      </c>
      <c r="AH421" s="1066">
        <f>(AH415*AH416-AH415*AH417)+(AH418-AH419)-AH420</f>
        <v>0</v>
      </c>
      <c r="AK421" s="146"/>
      <c r="AL421" s="146"/>
      <c r="AM421" s="146"/>
      <c r="AN421" s="146"/>
    </row>
    <row r="422" spans="2:40" x14ac:dyDescent="0.25">
      <c r="B422" s="9" t="s">
        <v>50</v>
      </c>
      <c r="C422" s="10" t="s">
        <v>391</v>
      </c>
      <c r="D422" s="11" t="s">
        <v>10</v>
      </c>
      <c r="E422" s="41">
        <f>E397+E402+E405+E408+E413+E417+E418+E419+E420</f>
        <v>0</v>
      </c>
      <c r="F422" s="41">
        <f>F397+F402+F405+F408+F413+F417+F418+F419+F420</f>
        <v>0</v>
      </c>
      <c r="G422" s="41">
        <f>G397+G402+G405+G408+G413+G417+G418+G419+G420</f>
        <v>0</v>
      </c>
      <c r="H422" s="86">
        <f>H397+H402+H405+H408+H413+H417+H418+H419+H420</f>
        <v>0</v>
      </c>
      <c r="K422" s="9" t="s">
        <v>50</v>
      </c>
      <c r="L422" s="10" t="s">
        <v>391</v>
      </c>
      <c r="M422" s="11" t="s">
        <v>10</v>
      </c>
      <c r="N422" s="41">
        <f>N397+N402+N405+N408+N413+N417+N418+N419+N420</f>
        <v>0</v>
      </c>
      <c r="O422" s="41">
        <f>O397+O402+O405+O408+O413+O417+O418+O419+O420</f>
        <v>0</v>
      </c>
      <c r="P422" s="41">
        <f>P397+P402+P405+P408+P413+P417+P418+P419+P420</f>
        <v>0</v>
      </c>
      <c r="Q422" s="86">
        <f>Q397+Q402+Q405+Q408+Q413+Q417+Q418+Q419+Q420</f>
        <v>0</v>
      </c>
      <c r="T422" s="9" t="s">
        <v>50</v>
      </c>
      <c r="U422" s="10" t="s">
        <v>391</v>
      </c>
      <c r="V422" s="11" t="s">
        <v>10</v>
      </c>
      <c r="W422" s="41">
        <f t="shared" ref="W422:AB422" si="47">W397+W402+W405+W408+W413+W417+W418+W419+W420</f>
        <v>0</v>
      </c>
      <c r="X422" s="41">
        <f t="shared" si="47"/>
        <v>0</v>
      </c>
      <c r="Y422" s="41">
        <f t="shared" si="47"/>
        <v>0</v>
      </c>
      <c r="Z422" s="41">
        <f t="shared" si="47"/>
        <v>0</v>
      </c>
      <c r="AA422" s="41">
        <f t="shared" si="47"/>
        <v>0</v>
      </c>
      <c r="AB422" s="86">
        <f t="shared" si="47"/>
        <v>0</v>
      </c>
      <c r="AC422" s="146"/>
      <c r="AD422" s="146"/>
      <c r="AE422" s="425" t="s">
        <v>347</v>
      </c>
      <c r="AF422" s="424"/>
      <c r="AG422" s="1067"/>
      <c r="AH422" s="1067"/>
      <c r="AK422" s="146"/>
      <c r="AL422" s="146"/>
      <c r="AM422" s="146"/>
      <c r="AN422" s="146"/>
    </row>
    <row r="423" spans="2:40" hidden="1" x14ac:dyDescent="0.25">
      <c r="B423" s="12" t="s">
        <v>389</v>
      </c>
      <c r="C423" s="13" t="s">
        <v>96</v>
      </c>
      <c r="D423" s="3" t="s">
        <v>10</v>
      </c>
      <c r="E423" s="329">
        <v>0</v>
      </c>
      <c r="F423" s="458">
        <f>F347</f>
        <v>0</v>
      </c>
      <c r="G423" s="329">
        <v>0</v>
      </c>
      <c r="H423" s="460">
        <f>H347</f>
        <v>0</v>
      </c>
      <c r="K423" s="12" t="s">
        <v>389</v>
      </c>
      <c r="L423" s="13" t="s">
        <v>96</v>
      </c>
      <c r="M423" s="3" t="s">
        <v>10</v>
      </c>
      <c r="N423" s="329">
        <v>0</v>
      </c>
      <c r="O423" s="329">
        <f>IF(Provozování!$V$16="Neaktivní",0,F423)</f>
        <v>0</v>
      </c>
      <c r="P423" s="329">
        <v>0</v>
      </c>
      <c r="Q423" s="330">
        <f>IF(Provozování!$V$16="Neaktivní",0,H423)</f>
        <v>0</v>
      </c>
      <c r="T423" s="42" t="s">
        <v>389</v>
      </c>
      <c r="U423" s="13" t="s">
        <v>96</v>
      </c>
      <c r="V423" s="3" t="s">
        <v>10</v>
      </c>
      <c r="W423" s="458">
        <v>0</v>
      </c>
      <c r="X423" s="329">
        <f>F423</f>
        <v>0</v>
      </c>
      <c r="Y423" s="329">
        <f>W423-X423</f>
        <v>0</v>
      </c>
      <c r="Z423" s="458">
        <v>0</v>
      </c>
      <c r="AA423" s="329">
        <f>H423</f>
        <v>0</v>
      </c>
      <c r="AB423" s="330">
        <f>Z423-AA423</f>
        <v>0</v>
      </c>
      <c r="AC423" s="146"/>
      <c r="AD423" s="146"/>
      <c r="AK423" s="146"/>
      <c r="AL423" s="146"/>
      <c r="AM423" s="146"/>
      <c r="AN423" s="146"/>
    </row>
    <row r="424" spans="2:40" hidden="1" x14ac:dyDescent="0.25">
      <c r="B424" s="12" t="s">
        <v>389</v>
      </c>
      <c r="C424" s="13" t="s">
        <v>97</v>
      </c>
      <c r="D424" s="3" t="s">
        <v>10</v>
      </c>
      <c r="E424" s="329">
        <v>0</v>
      </c>
      <c r="F424" s="458">
        <f>F348</f>
        <v>0</v>
      </c>
      <c r="G424" s="329">
        <v>0</v>
      </c>
      <c r="H424" s="460">
        <f>H348</f>
        <v>0</v>
      </c>
      <c r="K424" s="12" t="s">
        <v>389</v>
      </c>
      <c r="L424" s="13" t="s">
        <v>97</v>
      </c>
      <c r="M424" s="3" t="s">
        <v>10</v>
      </c>
      <c r="N424" s="329">
        <v>0</v>
      </c>
      <c r="O424" s="329">
        <f>IF(Provozování!$V$16="Neaktivní",0,F424)</f>
        <v>0</v>
      </c>
      <c r="P424" s="329">
        <v>0</v>
      </c>
      <c r="Q424" s="330">
        <f>IF(Provozování!$V$16="Neaktivní",0,H424)</f>
        <v>0</v>
      </c>
      <c r="T424" s="12" t="s">
        <v>389</v>
      </c>
      <c r="U424" s="13" t="s">
        <v>97</v>
      </c>
      <c r="V424" s="3" t="s">
        <v>10</v>
      </c>
      <c r="W424" s="458">
        <v>0</v>
      </c>
      <c r="X424" s="329">
        <f>F424</f>
        <v>0</v>
      </c>
      <c r="Y424" s="329">
        <f>W424-X424</f>
        <v>0</v>
      </c>
      <c r="Z424" s="458">
        <v>0</v>
      </c>
      <c r="AA424" s="329">
        <f>H424</f>
        <v>0</v>
      </c>
      <c r="AB424" s="330">
        <f>Z424-AA424</f>
        <v>0</v>
      </c>
      <c r="AC424" s="146"/>
      <c r="AD424" s="146"/>
      <c r="AK424" s="146"/>
      <c r="AL424" s="146"/>
      <c r="AM424" s="146"/>
      <c r="AN424" s="146"/>
    </row>
    <row r="425" spans="2:40" x14ac:dyDescent="0.25">
      <c r="B425" s="12" t="s">
        <v>51</v>
      </c>
      <c r="C425" s="13" t="s">
        <v>54</v>
      </c>
      <c r="D425" s="3" t="s">
        <v>55</v>
      </c>
      <c r="E425" s="331">
        <v>0</v>
      </c>
      <c r="F425" s="459">
        <f>F349</f>
        <v>0</v>
      </c>
      <c r="G425" s="331">
        <v>0</v>
      </c>
      <c r="H425" s="459">
        <f>H349</f>
        <v>0</v>
      </c>
      <c r="K425" s="12" t="s">
        <v>51</v>
      </c>
      <c r="L425" s="13" t="s">
        <v>54</v>
      </c>
      <c r="M425" s="3" t="s">
        <v>55</v>
      </c>
      <c r="N425" s="331">
        <v>0</v>
      </c>
      <c r="O425" s="331">
        <f>IF(Provozování!$V$16="Neaktivní",0,F425)</f>
        <v>0</v>
      </c>
      <c r="P425" s="331">
        <v>0</v>
      </c>
      <c r="Q425" s="332">
        <f>IF(Provozování!$V$16="Neaktivní",0,H425)</f>
        <v>0</v>
      </c>
      <c r="T425" s="12" t="s">
        <v>51</v>
      </c>
      <c r="U425" s="13" t="s">
        <v>54</v>
      </c>
      <c r="V425" s="3" t="s">
        <v>55</v>
      </c>
      <c r="W425" s="466">
        <v>0</v>
      </c>
      <c r="X425" s="331">
        <f>F425</f>
        <v>0</v>
      </c>
      <c r="Y425" s="332">
        <f>W425-X425</f>
        <v>0</v>
      </c>
      <c r="Z425" s="466">
        <v>0</v>
      </c>
      <c r="AA425" s="331">
        <f>H425</f>
        <v>0</v>
      </c>
      <c r="AB425" s="332">
        <f>Z425-AA425</f>
        <v>0</v>
      </c>
      <c r="AC425" s="146"/>
      <c r="AD425" s="146"/>
      <c r="AE425" s="1068" t="s">
        <v>337</v>
      </c>
      <c r="AF425" s="1069"/>
      <c r="AG425" s="1072" t="str">
        <f>IF(AG421&gt;0,"úspora",IF(AG421&lt;0,"ztráta provozovatele","-"))</f>
        <v>-</v>
      </c>
      <c r="AH425" s="1072" t="str">
        <f>IF(AH421&gt;0,"úspora",IF(AH421&lt;0,"ztráta provozovatele","-"))</f>
        <v>-</v>
      </c>
      <c r="AK425" s="146"/>
      <c r="AL425" s="146"/>
      <c r="AM425" s="146"/>
      <c r="AN425" s="146"/>
    </row>
    <row r="426" spans="2:40" x14ac:dyDescent="0.25">
      <c r="B426" s="12" t="s">
        <v>52</v>
      </c>
      <c r="C426" s="13" t="s">
        <v>57</v>
      </c>
      <c r="D426" s="3" t="s">
        <v>58</v>
      </c>
      <c r="E426" s="44">
        <v>0</v>
      </c>
      <c r="F426" s="44">
        <f>IF(YEAR(Postup!$H$25)&gt;$D$384,Provozování!AI49,IF(AND(DAY(Postup!$H$25)=31,MONTH(Postup!$H$25)=12,YEAR(Postup!$H$25)=$D$384),Provozování!AI49,IF(YEAR(Postup!$H$25)=$D$384,Provozování!$BL49,0)))</f>
        <v>0</v>
      </c>
      <c r="G426" s="44">
        <v>0</v>
      </c>
      <c r="H426" s="334">
        <v>0</v>
      </c>
      <c r="K426" s="12" t="s">
        <v>52</v>
      </c>
      <c r="L426" s="13" t="s">
        <v>57</v>
      </c>
      <c r="M426" s="3" t="s">
        <v>58</v>
      </c>
      <c r="N426" s="44">
        <v>0</v>
      </c>
      <c r="O426" s="44">
        <f>IF(Provozování!$AK$16="Neaktivní",0,Provozování!AK49)</f>
        <v>0</v>
      </c>
      <c r="P426" s="44">
        <v>0</v>
      </c>
      <c r="Q426" s="334">
        <v>0</v>
      </c>
      <c r="T426" s="12" t="s">
        <v>52</v>
      </c>
      <c r="U426" s="13" t="s">
        <v>57</v>
      </c>
      <c r="V426" s="3" t="s">
        <v>58</v>
      </c>
      <c r="W426" s="462">
        <v>0</v>
      </c>
      <c r="X426" s="44">
        <f>IF(Provozování!$AK$16="Neaktivní",F426,O426)</f>
        <v>0</v>
      </c>
      <c r="Y426" s="44">
        <f>W426-X426</f>
        <v>0</v>
      </c>
      <c r="Z426" s="337">
        <v>0</v>
      </c>
      <c r="AA426" s="337">
        <v>0</v>
      </c>
      <c r="AB426" s="334">
        <v>0</v>
      </c>
      <c r="AC426" s="146"/>
      <c r="AD426" s="146"/>
      <c r="AE426" s="1070"/>
      <c r="AF426" s="1071"/>
      <c r="AG426" s="1000"/>
      <c r="AH426" s="1000"/>
      <c r="AK426" s="146"/>
      <c r="AL426" s="146"/>
      <c r="AM426" s="146"/>
      <c r="AN426" s="146"/>
    </row>
    <row r="427" spans="2:40" x14ac:dyDescent="0.25">
      <c r="B427" s="12" t="s">
        <v>53</v>
      </c>
      <c r="C427" s="13" t="s">
        <v>60</v>
      </c>
      <c r="D427" s="3" t="s">
        <v>58</v>
      </c>
      <c r="E427" s="44">
        <v>0</v>
      </c>
      <c r="F427" s="44">
        <f>IF(YEAR(Postup!$H$25)&gt;$D$384,Provozování!AI50,IF(AND(DAY(Postup!$H$25)=31,MONTH(Postup!$H$25)=12,YEAR(Postup!$H$25)=$D$384),Provozování!AI50,IF(YEAR(Postup!$H$25)=$D$384,Provozování!$BL50,0)))</f>
        <v>0</v>
      </c>
      <c r="G427" s="44">
        <v>0</v>
      </c>
      <c r="H427" s="334">
        <v>0</v>
      </c>
      <c r="K427" s="12" t="s">
        <v>53</v>
      </c>
      <c r="L427" s="13" t="s">
        <v>60</v>
      </c>
      <c r="M427" s="3" t="s">
        <v>58</v>
      </c>
      <c r="N427" s="44">
        <v>0</v>
      </c>
      <c r="O427" s="44">
        <f>IF(Provozování!$AK$16="Neaktivní",0,Provozování!AK50)</f>
        <v>0</v>
      </c>
      <c r="P427" s="44">
        <v>0</v>
      </c>
      <c r="Q427" s="334">
        <v>0</v>
      </c>
      <c r="T427" s="12" t="s">
        <v>53</v>
      </c>
      <c r="U427" s="13" t="s">
        <v>60</v>
      </c>
      <c r="V427" s="3" t="s">
        <v>58</v>
      </c>
      <c r="W427" s="462">
        <v>0</v>
      </c>
      <c r="X427" s="44">
        <f>IF(Provozování!$AK$16="Neaktivní",F427,O427)</f>
        <v>0</v>
      </c>
      <c r="Y427" s="44">
        <f>W427-X427</f>
        <v>0</v>
      </c>
      <c r="Z427" s="337">
        <v>0</v>
      </c>
      <c r="AA427" s="337">
        <v>0</v>
      </c>
      <c r="AB427" s="334">
        <v>0</v>
      </c>
      <c r="AC427" s="146"/>
      <c r="AD427" s="146"/>
      <c r="AE427" s="414" t="s">
        <v>343</v>
      </c>
      <c r="AF427" s="414"/>
      <c r="AG427" s="344">
        <f>IF(AG421&gt;0,AG421/AG418,0)</f>
        <v>0</v>
      </c>
      <c r="AH427" s="344">
        <f>IF(AH421&gt;0,AH421/AH418,0)</f>
        <v>0</v>
      </c>
      <c r="AK427" s="146"/>
      <c r="AL427" s="146"/>
      <c r="AM427" s="146"/>
      <c r="AN427" s="146"/>
    </row>
    <row r="428" spans="2:40" x14ac:dyDescent="0.25">
      <c r="B428" s="12" t="s">
        <v>56</v>
      </c>
      <c r="C428" s="13" t="s">
        <v>62</v>
      </c>
      <c r="D428" s="3" t="s">
        <v>58</v>
      </c>
      <c r="E428" s="44">
        <v>0</v>
      </c>
      <c r="F428" s="337">
        <v>0</v>
      </c>
      <c r="G428" s="44">
        <v>0</v>
      </c>
      <c r="H428" s="30">
        <f>IF(YEAR(Postup!$H$25)&gt;$D$384,Provozování!AJ51,IF(AND(DAY(Postup!$H$25)=31,MONTH(Postup!$H$25)=12,YEAR(Postup!$H$25)=$D$384),Provozování!AJ51,IF(YEAR(Postup!$H$25)=$D$384,Provozování!$BM51,0)))</f>
        <v>0</v>
      </c>
      <c r="K428" s="12" t="s">
        <v>56</v>
      </c>
      <c r="L428" s="13" t="s">
        <v>62</v>
      </c>
      <c r="M428" s="3" t="s">
        <v>58</v>
      </c>
      <c r="N428" s="44">
        <v>0</v>
      </c>
      <c r="O428" s="337">
        <v>0</v>
      </c>
      <c r="P428" s="44">
        <v>0</v>
      </c>
      <c r="Q428" s="53">
        <f>IF(Provozování!$AK$16="Neaktivní",0,Provozování!AL51)</f>
        <v>0</v>
      </c>
      <c r="T428" s="12" t="s">
        <v>56</v>
      </c>
      <c r="U428" s="13" t="s">
        <v>62</v>
      </c>
      <c r="V428" s="3" t="s">
        <v>58</v>
      </c>
      <c r="W428" s="337">
        <v>0</v>
      </c>
      <c r="X428" s="337">
        <v>0</v>
      </c>
      <c r="Y428" s="337">
        <v>0</v>
      </c>
      <c r="Z428" s="462">
        <v>0</v>
      </c>
      <c r="AA428" s="44">
        <f>IF(Provozování!$AK$16="Neaktivní",H428,Q428)</f>
        <v>0</v>
      </c>
      <c r="AB428" s="30">
        <f t="shared" ref="AB428:AB433" si="48">Z428-AA428</f>
        <v>0</v>
      </c>
      <c r="AC428" s="146"/>
      <c r="AD428" s="146"/>
      <c r="AE428" s="437" t="s">
        <v>323</v>
      </c>
      <c r="AF428" s="437"/>
      <c r="AG428" s="715"/>
      <c r="AH428" s="715"/>
      <c r="AK428" s="146"/>
      <c r="AL428" s="146"/>
      <c r="AM428" s="146"/>
      <c r="AN428" s="146"/>
    </row>
    <row r="429" spans="2:40" x14ac:dyDescent="0.25">
      <c r="B429" s="12" t="s">
        <v>59</v>
      </c>
      <c r="C429" s="13" t="s">
        <v>60</v>
      </c>
      <c r="D429" s="3" t="s">
        <v>58</v>
      </c>
      <c r="E429" s="44">
        <v>0</v>
      </c>
      <c r="F429" s="337">
        <v>0</v>
      </c>
      <c r="G429" s="44">
        <v>0</v>
      </c>
      <c r="H429" s="30">
        <f>IF(YEAR(Postup!$H$25)&gt;$D$384,Provozování!AJ52,IF(AND(DAY(Postup!$H$25)=31,MONTH(Postup!$H$25)=12,YEAR(Postup!$H$25)=$D$384),Provozování!AJ52,IF(YEAR(Postup!$H$25)=$D$384,Provozování!$BM52,0)))</f>
        <v>0</v>
      </c>
      <c r="K429" s="12" t="s">
        <v>59</v>
      </c>
      <c r="L429" s="13" t="s">
        <v>60</v>
      </c>
      <c r="M429" s="3" t="s">
        <v>58</v>
      </c>
      <c r="N429" s="44">
        <v>0</v>
      </c>
      <c r="O429" s="337">
        <v>0</v>
      </c>
      <c r="P429" s="44">
        <v>0</v>
      </c>
      <c r="Q429" s="53">
        <f>IF(Provozování!$AK$16="Neaktivní",0,Provozování!AL52)</f>
        <v>0</v>
      </c>
      <c r="T429" s="12" t="s">
        <v>59</v>
      </c>
      <c r="U429" s="13" t="s">
        <v>60</v>
      </c>
      <c r="V429" s="3" t="s">
        <v>58</v>
      </c>
      <c r="W429" s="337">
        <v>0</v>
      </c>
      <c r="X429" s="337">
        <v>0</v>
      </c>
      <c r="Y429" s="337">
        <v>0</v>
      </c>
      <c r="Z429" s="462">
        <v>0</v>
      </c>
      <c r="AA429" s="44">
        <f>IF(Provozování!$AK$16="Neaktivní",H429,Q429)</f>
        <v>0</v>
      </c>
      <c r="AB429" s="30">
        <f t="shared" si="48"/>
        <v>0</v>
      </c>
      <c r="AC429" s="146"/>
      <c r="AD429" s="146"/>
      <c r="AE429" s="438" t="s">
        <v>334</v>
      </c>
      <c r="AF429" s="438"/>
      <c r="AG429" s="712">
        <f>IF(AG427&gt;0,AG418*AI429*0.5,0)</f>
        <v>0</v>
      </c>
      <c r="AH429" s="712">
        <f>IF(AH427&gt;0,AH418*AJ429*0.5,0)</f>
        <v>0</v>
      </c>
      <c r="AI429" s="345">
        <f>IF(AG427&gt;0.05,0.05,AG427)</f>
        <v>0</v>
      </c>
      <c r="AJ429" s="345">
        <f>IF(AH427&gt;0.05,0.05,AH427)</f>
        <v>0</v>
      </c>
      <c r="AK429" s="146"/>
      <c r="AL429" s="146"/>
      <c r="AM429" s="146"/>
      <c r="AN429" s="146"/>
    </row>
    <row r="430" spans="2:40" x14ac:dyDescent="0.25">
      <c r="B430" s="12" t="s">
        <v>61</v>
      </c>
      <c r="C430" s="13" t="s">
        <v>65</v>
      </c>
      <c r="D430" s="3" t="s">
        <v>58</v>
      </c>
      <c r="E430" s="44">
        <v>0</v>
      </c>
      <c r="F430" s="337">
        <v>0</v>
      </c>
      <c r="G430" s="44">
        <v>0</v>
      </c>
      <c r="H430" s="30">
        <f>IF(YEAR(Postup!$H$25)&gt;$D$384,Provozování!AJ53,IF(AND(DAY(Postup!$H$25)=31,MONTH(Postup!$H$25)=12,YEAR(Postup!$H$25)=$D$384),Provozování!AJ53,IF(YEAR(Postup!$H$25)=$D$384,Provozování!$BM53,0)))</f>
        <v>0</v>
      </c>
      <c r="K430" s="12" t="s">
        <v>61</v>
      </c>
      <c r="L430" s="13" t="s">
        <v>65</v>
      </c>
      <c r="M430" s="3" t="s">
        <v>58</v>
      </c>
      <c r="N430" s="44">
        <v>0</v>
      </c>
      <c r="O430" s="337">
        <v>0</v>
      </c>
      <c r="P430" s="44">
        <v>0</v>
      </c>
      <c r="Q430" s="53">
        <f>IF(Provozování!$AK$16="Neaktivní",0,Provozování!AL53)</f>
        <v>0</v>
      </c>
      <c r="T430" s="12" t="s">
        <v>61</v>
      </c>
      <c r="U430" s="13" t="s">
        <v>65</v>
      </c>
      <c r="V430" s="3" t="s">
        <v>58</v>
      </c>
      <c r="W430" s="337">
        <v>0</v>
      </c>
      <c r="X430" s="337">
        <v>0</v>
      </c>
      <c r="Y430" s="337">
        <v>0</v>
      </c>
      <c r="Z430" s="462">
        <v>0</v>
      </c>
      <c r="AA430" s="44">
        <f>IF(Provozování!$AK$16="Neaktivní",H430,Q430)</f>
        <v>0</v>
      </c>
      <c r="AB430" s="30">
        <f t="shared" si="48"/>
        <v>0</v>
      </c>
      <c r="AC430" s="146"/>
      <c r="AD430" s="146"/>
      <c r="AE430" s="415" t="s">
        <v>335</v>
      </c>
      <c r="AF430" s="415"/>
      <c r="AG430" s="270">
        <f>IF(AI430&gt;0,AG418*(AI430-0.05)*0.8,0)</f>
        <v>0</v>
      </c>
      <c r="AH430" s="270">
        <f>IF(AJ430&gt;0,AH418*(AJ430-0.05)*0.8,0)</f>
        <v>0</v>
      </c>
      <c r="AI430" s="345">
        <f>IF(AND(AG427&gt;0.05,AG427&lt;=0.1),AG427,IF(AG427&lt;=0.05,0,0.1))</f>
        <v>0</v>
      </c>
      <c r="AJ430" s="345">
        <f>IF(AND(AH427&gt;0.05,AH427&lt;=0.1),AH427,IF(AH427&lt;=0.05,0,0.1))</f>
        <v>0</v>
      </c>
      <c r="AK430" s="146"/>
      <c r="AL430" s="146"/>
      <c r="AM430" s="146"/>
      <c r="AN430" s="146"/>
    </row>
    <row r="431" spans="2:40" x14ac:dyDescent="0.25">
      <c r="B431" s="12" t="s">
        <v>63</v>
      </c>
      <c r="C431" s="13" t="s">
        <v>67</v>
      </c>
      <c r="D431" s="3" t="s">
        <v>58</v>
      </c>
      <c r="E431" s="44">
        <v>0</v>
      </c>
      <c r="F431" s="337">
        <v>0</v>
      </c>
      <c r="G431" s="44">
        <v>0</v>
      </c>
      <c r="H431" s="30">
        <f>IF(YEAR(Postup!$H$25)&gt;$D$384,Provozování!AJ54,IF(AND(DAY(Postup!$H$25)=31,MONTH(Postup!$H$25)=12,YEAR(Postup!$H$25)=$D$384),Provozování!AJ54,IF(YEAR(Postup!$H$25)=$D$384,Provozování!$BM54,0)))</f>
        <v>0</v>
      </c>
      <c r="K431" s="12" t="s">
        <v>63</v>
      </c>
      <c r="L431" s="13" t="s">
        <v>67</v>
      </c>
      <c r="M431" s="3" t="s">
        <v>58</v>
      </c>
      <c r="N431" s="44">
        <v>0</v>
      </c>
      <c r="O431" s="337">
        <v>0</v>
      </c>
      <c r="P431" s="44">
        <v>0</v>
      </c>
      <c r="Q431" s="53">
        <f>IF(Provozování!$AK$16="Neaktivní",0,Provozování!AL54)</f>
        <v>0</v>
      </c>
      <c r="T431" s="12" t="s">
        <v>63</v>
      </c>
      <c r="U431" s="13" t="s">
        <v>67</v>
      </c>
      <c r="V431" s="3" t="s">
        <v>58</v>
      </c>
      <c r="W431" s="337">
        <v>0</v>
      </c>
      <c r="X431" s="337">
        <v>0</v>
      </c>
      <c r="Y431" s="337">
        <v>0</v>
      </c>
      <c r="Z431" s="462">
        <v>0</v>
      </c>
      <c r="AA431" s="44">
        <f>IF(Provozování!$AK$16="Neaktivní",H431,Q431)</f>
        <v>0</v>
      </c>
      <c r="AB431" s="30">
        <f t="shared" si="48"/>
        <v>0</v>
      </c>
      <c r="AC431" s="146"/>
      <c r="AD431" s="146"/>
      <c r="AE431" s="415" t="s">
        <v>336</v>
      </c>
      <c r="AF431" s="415"/>
      <c r="AG431" s="270">
        <f>IF(AI431&gt;0,AG418*(AI431-0.1)*1,0)</f>
        <v>0</v>
      </c>
      <c r="AH431" s="270">
        <f>IF(AJ431&gt;0,AH418*(AJ431-0.1)*1,0)</f>
        <v>0</v>
      </c>
      <c r="AI431" s="345">
        <f>IF(AG427&gt;0.1,AG427,0)</f>
        <v>0</v>
      </c>
      <c r="AJ431" s="345">
        <f>IF(AH427&gt;0.1,AH427,0)</f>
        <v>0</v>
      </c>
      <c r="AK431" s="146"/>
      <c r="AL431" s="146"/>
      <c r="AM431" s="146"/>
      <c r="AN431" s="146"/>
    </row>
    <row r="432" spans="2:40" x14ac:dyDescent="0.25">
      <c r="B432" s="12" t="s">
        <v>64</v>
      </c>
      <c r="C432" s="13" t="s">
        <v>68</v>
      </c>
      <c r="D432" s="3" t="s">
        <v>58</v>
      </c>
      <c r="E432" s="44">
        <v>0</v>
      </c>
      <c r="F432" s="44">
        <f>IF(YEAR(Postup!$H$25)&gt;$D$384,Provozování!AI55,IF(AND(DAY(Postup!$H$25)=31,MONTH(Postup!$H$25)=12,YEAR(Postup!$H$25)=$D$384),Provozování!AI55,IF(YEAR(Postup!$H$25)=$D$384,Provozování!$BL55,0)))</f>
        <v>0</v>
      </c>
      <c r="G432" s="44">
        <v>0</v>
      </c>
      <c r="H432" s="30">
        <f>IF(YEAR(Postup!$H$25)&gt;$D$384,Provozování!AJ55,IF(AND(DAY(Postup!$H$25)=31,MONTH(Postup!$H$25)=12,YEAR(Postup!$H$25)=$D$384),Provozování!AJ55,IF(YEAR(Postup!$H$25)=$D$384,Provozování!$BM55,0)))</f>
        <v>0</v>
      </c>
      <c r="K432" s="12" t="s">
        <v>64</v>
      </c>
      <c r="L432" s="13" t="s">
        <v>68</v>
      </c>
      <c r="M432" s="3" t="s">
        <v>58</v>
      </c>
      <c r="N432" s="44">
        <v>0</v>
      </c>
      <c r="O432" s="44">
        <f>IF(Provozování!$AK$16="Neaktivní",0,Provozování!AK55)</f>
        <v>0</v>
      </c>
      <c r="P432" s="44">
        <v>0</v>
      </c>
      <c r="Q432" s="53">
        <f>IF(Provozování!$AK$16="Neaktivní",0,Provozování!AL55)</f>
        <v>0</v>
      </c>
      <c r="T432" s="12" t="s">
        <v>64</v>
      </c>
      <c r="U432" s="13" t="s">
        <v>68</v>
      </c>
      <c r="V432" s="3" t="s">
        <v>58</v>
      </c>
      <c r="W432" s="462">
        <v>0</v>
      </c>
      <c r="X432" s="44">
        <f>IF(Provozování!$AK$16="Neaktivní",F432,O432)</f>
        <v>0</v>
      </c>
      <c r="Y432" s="44">
        <f>W432-X432</f>
        <v>0</v>
      </c>
      <c r="Z432" s="462">
        <v>0</v>
      </c>
      <c r="AA432" s="44">
        <f>IF(Provozování!$AK$16="Neaktivní",H432,Q432)</f>
        <v>0</v>
      </c>
      <c r="AB432" s="30">
        <f t="shared" si="48"/>
        <v>0</v>
      </c>
      <c r="AC432" s="146"/>
      <c r="AD432" s="146"/>
      <c r="AE432" s="413" t="s">
        <v>324</v>
      </c>
      <c r="AF432" s="413"/>
      <c r="AG432" s="346">
        <f>SUM(AG429:AG431)</f>
        <v>0</v>
      </c>
      <c r="AH432" s="346">
        <f>SUM(AH429:AH431)</f>
        <v>0</v>
      </c>
      <c r="AK432" s="146"/>
      <c r="AL432" s="146"/>
      <c r="AM432" s="146"/>
      <c r="AN432" s="146"/>
    </row>
    <row r="433" spans="2:40" x14ac:dyDescent="0.25">
      <c r="B433" s="12" t="s">
        <v>66</v>
      </c>
      <c r="C433" s="13" t="s">
        <v>69</v>
      </c>
      <c r="D433" s="3" t="s">
        <v>58</v>
      </c>
      <c r="E433" s="44">
        <v>0</v>
      </c>
      <c r="F433" s="44">
        <f>IF(YEAR(Postup!$H$25)&gt;$D$384,Provozování!AI56,IF(AND(DAY(Postup!$H$25)=31,MONTH(Postup!$H$25)=12,YEAR(Postup!$H$25)=$D$384),Provozování!AI56,IF(YEAR(Postup!$H$25)=$D$384,Provozování!$BL56,0)))</f>
        <v>0</v>
      </c>
      <c r="G433" s="44">
        <v>0</v>
      </c>
      <c r="H433" s="30">
        <f>IF(YEAR(Postup!$H$25)&gt;$D$384,Provozování!AJ56,IF(AND(DAY(Postup!$H$25)=31,MONTH(Postup!$H$25)=12,YEAR(Postup!$H$25)=$D$384),Provozování!AJ56,IF(YEAR(Postup!$H$25)=$D$384,Provozování!$BM56,0)))</f>
        <v>0</v>
      </c>
      <c r="K433" s="12" t="s">
        <v>66</v>
      </c>
      <c r="L433" s="13" t="s">
        <v>69</v>
      </c>
      <c r="M433" s="3" t="s">
        <v>58</v>
      </c>
      <c r="N433" s="44">
        <v>0</v>
      </c>
      <c r="O433" s="44">
        <f>IF(Provozování!$AK$16="Neaktivní",0,Provozování!AK56)</f>
        <v>0</v>
      </c>
      <c r="P433" s="44">
        <v>0</v>
      </c>
      <c r="Q433" s="30">
        <f>IF(Provozování!$AK$16="Neaktivní",0,Provozování!AL56)</f>
        <v>0</v>
      </c>
      <c r="T433" s="12" t="s">
        <v>66</v>
      </c>
      <c r="U433" s="13" t="s">
        <v>69</v>
      </c>
      <c r="V433" s="3" t="s">
        <v>58</v>
      </c>
      <c r="W433" s="462">
        <v>0</v>
      </c>
      <c r="X433" s="44">
        <f>IF(Provozování!$AK$16="Neaktivní",F433,O433)</f>
        <v>0</v>
      </c>
      <c r="Y433" s="44">
        <f>W433-X433</f>
        <v>0</v>
      </c>
      <c r="Z433" s="462">
        <v>0</v>
      </c>
      <c r="AA433" s="44">
        <f>IF(Provozování!$AK$16="Neaktivní",H433,Q433)</f>
        <v>0</v>
      </c>
      <c r="AB433" s="30">
        <f t="shared" si="48"/>
        <v>0</v>
      </c>
      <c r="AC433" s="146"/>
      <c r="AD433" s="146"/>
      <c r="AE433" s="146"/>
      <c r="AF433" s="146"/>
      <c r="AG433" s="146"/>
      <c r="AH433" s="146"/>
      <c r="AI433" s="146"/>
      <c r="AJ433" s="146"/>
      <c r="AK433" s="146"/>
      <c r="AL433" s="146"/>
      <c r="AM433" s="146"/>
      <c r="AN433" s="146"/>
    </row>
    <row r="434" spans="2:40" x14ac:dyDescent="0.25">
      <c r="B434" s="1"/>
      <c r="C434" s="1"/>
      <c r="D434" s="1"/>
      <c r="E434" s="1"/>
      <c r="F434" s="347"/>
      <c r="G434" s="1"/>
      <c r="H434" s="347"/>
      <c r="K434" s="1"/>
      <c r="L434" s="1"/>
      <c r="M434" s="1"/>
      <c r="N434" s="1"/>
      <c r="O434" s="1"/>
      <c r="P434" s="1"/>
      <c r="Q434" s="1"/>
      <c r="T434" s="1"/>
      <c r="U434" s="1"/>
      <c r="V434" s="1"/>
      <c r="W434" s="1"/>
      <c r="X434" s="1"/>
      <c r="Y434" s="1"/>
      <c r="Z434" s="1"/>
      <c r="AA434" s="1"/>
      <c r="AB434" s="1"/>
      <c r="AC434" s="146"/>
      <c r="AD434" s="146"/>
      <c r="AE434" s="146"/>
      <c r="AF434" s="146"/>
      <c r="AG434" s="146"/>
      <c r="AH434" s="146"/>
      <c r="AI434" s="146"/>
      <c r="AJ434" s="146"/>
      <c r="AK434" s="146"/>
      <c r="AL434" s="146"/>
      <c r="AM434" s="146"/>
      <c r="AN434" s="146"/>
    </row>
    <row r="435" spans="2:40" x14ac:dyDescent="0.25">
      <c r="B435" s="1052" t="s">
        <v>5</v>
      </c>
      <c r="C435" s="884" t="s">
        <v>70</v>
      </c>
      <c r="D435" s="868"/>
      <c r="E435" s="1082"/>
      <c r="F435" s="1083"/>
      <c r="G435" s="868"/>
      <c r="H435" s="869"/>
      <c r="K435" s="1052" t="s">
        <v>5</v>
      </c>
      <c r="L435" s="884" t="s">
        <v>70</v>
      </c>
      <c r="M435" s="868"/>
      <c r="N435" s="1082"/>
      <c r="O435" s="1083"/>
      <c r="P435" s="868"/>
      <c r="Q435" s="869"/>
      <c r="T435" s="1098" t="s">
        <v>5</v>
      </c>
      <c r="U435" s="884" t="s">
        <v>70</v>
      </c>
      <c r="V435" s="868"/>
      <c r="W435" s="1082"/>
      <c r="X435" s="1082"/>
      <c r="Y435" s="1083"/>
      <c r="Z435" s="868"/>
      <c r="AA435" s="868"/>
      <c r="AB435" s="869"/>
      <c r="AC435" s="146"/>
      <c r="AD435" s="146"/>
      <c r="AE435" s="146"/>
      <c r="AF435" s="146"/>
      <c r="AG435" s="146"/>
      <c r="AH435" s="146"/>
      <c r="AI435" s="146"/>
      <c r="AJ435" s="146"/>
      <c r="AK435" s="146"/>
      <c r="AL435" s="146"/>
      <c r="AM435" s="146"/>
      <c r="AN435" s="146"/>
    </row>
    <row r="436" spans="2:40" x14ac:dyDescent="0.25">
      <c r="B436" s="1053"/>
      <c r="C436" s="1052" t="s">
        <v>71</v>
      </c>
      <c r="D436" s="1065" t="s">
        <v>133</v>
      </c>
      <c r="E436" s="1085" t="s">
        <v>102</v>
      </c>
      <c r="F436" s="1086"/>
      <c r="G436" s="85" t="s">
        <v>3</v>
      </c>
      <c r="H436" s="23" t="s">
        <v>4</v>
      </c>
      <c r="K436" s="1053"/>
      <c r="L436" s="5" t="s">
        <v>71</v>
      </c>
      <c r="M436" s="1065" t="s">
        <v>133</v>
      </c>
      <c r="N436" s="1085" t="s">
        <v>102</v>
      </c>
      <c r="O436" s="1086"/>
      <c r="P436" s="85" t="s">
        <v>3</v>
      </c>
      <c r="Q436" s="23" t="s">
        <v>4</v>
      </c>
      <c r="T436" s="1099"/>
      <c r="U436" s="1052" t="s">
        <v>71</v>
      </c>
      <c r="V436" s="1065" t="s">
        <v>133</v>
      </c>
      <c r="W436" s="1085" t="s">
        <v>102</v>
      </c>
      <c r="X436" s="1086"/>
      <c r="Y436" s="1085" t="s">
        <v>3</v>
      </c>
      <c r="Z436" s="1101"/>
      <c r="AA436" s="1102" t="s">
        <v>4</v>
      </c>
      <c r="AB436" s="1102"/>
      <c r="AC436" s="146"/>
      <c r="AD436" s="146"/>
      <c r="AE436" s="146"/>
      <c r="AF436" s="146"/>
      <c r="AG436" s="146"/>
      <c r="AH436" s="146"/>
      <c r="AI436" s="146"/>
      <c r="AJ436" s="146"/>
      <c r="AK436" s="146"/>
      <c r="AL436" s="146"/>
      <c r="AM436" s="146"/>
      <c r="AN436" s="146"/>
    </row>
    <row r="437" spans="2:40" x14ac:dyDescent="0.25">
      <c r="B437" s="1054"/>
      <c r="C437" s="1054"/>
      <c r="D437" s="1084"/>
      <c r="E437" s="1087"/>
      <c r="F437" s="1088"/>
      <c r="G437" s="26" t="s">
        <v>7</v>
      </c>
      <c r="H437" s="24" t="s">
        <v>7</v>
      </c>
      <c r="K437" s="1054"/>
      <c r="L437" s="8"/>
      <c r="M437" s="1084"/>
      <c r="N437" s="1087"/>
      <c r="O437" s="1088"/>
      <c r="P437" s="26" t="s">
        <v>7</v>
      </c>
      <c r="Q437" s="24" t="s">
        <v>7</v>
      </c>
      <c r="T437" s="1100"/>
      <c r="U437" s="1054"/>
      <c r="V437" s="1084"/>
      <c r="W437" s="1087"/>
      <c r="X437" s="1088"/>
      <c r="Y437" s="37" t="s">
        <v>148</v>
      </c>
      <c r="Z437" s="37" t="s">
        <v>7</v>
      </c>
      <c r="AA437" s="37" t="s">
        <v>148</v>
      </c>
      <c r="AB437" s="37" t="s">
        <v>7</v>
      </c>
      <c r="AC437" s="146"/>
      <c r="AD437" s="146"/>
      <c r="AE437" s="146"/>
      <c r="AF437" s="146"/>
      <c r="AG437" s="146"/>
      <c r="AH437" s="146"/>
      <c r="AI437" s="146"/>
      <c r="AJ437" s="146"/>
      <c r="AK437" s="146"/>
      <c r="AL437" s="146"/>
      <c r="AM437" s="146"/>
      <c r="AN437" s="146"/>
    </row>
    <row r="438" spans="2:40" x14ac:dyDescent="0.25">
      <c r="B438" s="11">
        <v>1</v>
      </c>
      <c r="C438" s="11">
        <v>2</v>
      </c>
      <c r="D438" s="11" t="s">
        <v>95</v>
      </c>
      <c r="E438" s="873" t="s">
        <v>99</v>
      </c>
      <c r="F438" s="874"/>
      <c r="G438" s="11" t="s">
        <v>100</v>
      </c>
      <c r="H438" s="22" t="s">
        <v>101</v>
      </c>
      <c r="K438" s="11">
        <v>1</v>
      </c>
      <c r="L438" s="11">
        <v>2</v>
      </c>
      <c r="M438" s="11" t="s">
        <v>95</v>
      </c>
      <c r="N438" s="873" t="s">
        <v>99</v>
      </c>
      <c r="O438" s="874"/>
      <c r="P438" s="11" t="s">
        <v>100</v>
      </c>
      <c r="Q438" s="22" t="s">
        <v>101</v>
      </c>
      <c r="T438" s="11">
        <v>1</v>
      </c>
      <c r="U438" s="11">
        <v>2</v>
      </c>
      <c r="V438" s="11" t="s">
        <v>95</v>
      </c>
      <c r="W438" s="1096" t="s">
        <v>99</v>
      </c>
      <c r="X438" s="1097"/>
      <c r="Y438" s="11" t="s">
        <v>153</v>
      </c>
      <c r="Z438" s="11" t="s">
        <v>100</v>
      </c>
      <c r="AA438" s="11" t="s">
        <v>152</v>
      </c>
      <c r="AB438" s="22" t="s">
        <v>101</v>
      </c>
      <c r="AC438" s="146"/>
      <c r="AD438" s="146"/>
      <c r="AE438" s="146"/>
      <c r="AF438" s="146"/>
      <c r="AG438" s="146"/>
      <c r="AH438" s="146"/>
      <c r="AI438" s="146"/>
      <c r="AJ438" s="146"/>
      <c r="AK438" s="146"/>
      <c r="AL438" s="146"/>
      <c r="AM438" s="146"/>
      <c r="AN438" s="146"/>
    </row>
    <row r="439" spans="2:40" ht="14.45" customHeight="1" x14ac:dyDescent="0.25">
      <c r="B439" s="12" t="s">
        <v>72</v>
      </c>
      <c r="C439" s="13" t="s">
        <v>104</v>
      </c>
      <c r="D439" s="13" t="s">
        <v>73</v>
      </c>
      <c r="E439" s="875" t="s">
        <v>403</v>
      </c>
      <c r="F439" s="1048"/>
      <c r="G439" s="137">
        <f>IF(F426=0,IF(F432&lt;&gt;0,F422/F432,0),F422/F426)</f>
        <v>0</v>
      </c>
      <c r="H439" s="138">
        <f>IF((H428+H430)=0,IF(H433&lt;&gt;0,H422/H433,0),H422/(H428+H430))</f>
        <v>0</v>
      </c>
      <c r="K439" s="12" t="s">
        <v>72</v>
      </c>
      <c r="L439" s="13" t="s">
        <v>104</v>
      </c>
      <c r="M439" s="13" t="s">
        <v>73</v>
      </c>
      <c r="N439" s="875" t="s">
        <v>403</v>
      </c>
      <c r="O439" s="1048"/>
      <c r="P439" s="137">
        <f>IF(O426=0,IF(O432&lt;&gt;0,O422/O432,0),O422/O426)</f>
        <v>0</v>
      </c>
      <c r="Q439" s="138">
        <f>IF((Q428+Q430)=0,IF(Q433&lt;&gt;0,Q422/Q433,0),Q422/(Q428+Q430))</f>
        <v>0</v>
      </c>
      <c r="T439" s="12" t="s">
        <v>72</v>
      </c>
      <c r="U439" s="13" t="s">
        <v>104</v>
      </c>
      <c r="V439" s="13" t="s">
        <v>73</v>
      </c>
      <c r="W439" s="875" t="s">
        <v>403</v>
      </c>
      <c r="X439" s="1048"/>
      <c r="Y439" s="137">
        <f>IF(W426=0,IF(W432&lt;&gt;0,W422/W432,0),W422/W426)</f>
        <v>0</v>
      </c>
      <c r="Z439" s="137">
        <f>IF(X426=0,IF(X432&lt;&gt;0,X422/X432,0),X422/X426)</f>
        <v>0</v>
      </c>
      <c r="AA439" s="137">
        <f>IF((Z428+Z430)=0,IF(Z433&lt;&gt;0,Z422/Z433,0),Z422/(Z428+Z430))</f>
        <v>0</v>
      </c>
      <c r="AB439" s="138">
        <f>IF((AA428+AA430)=0,IF(AA433&lt;&gt;0,AA422/AA433,0),AA422/(AA428+AA430))</f>
        <v>0</v>
      </c>
      <c r="AC439" s="146"/>
      <c r="AD439" s="146"/>
      <c r="AE439" s="146"/>
      <c r="AF439" s="146"/>
      <c r="AG439" s="146"/>
      <c r="AH439" s="146"/>
      <c r="AI439" s="146"/>
      <c r="AJ439" s="146"/>
      <c r="AK439" s="146"/>
      <c r="AL439" s="146"/>
      <c r="AM439" s="146"/>
      <c r="AN439" s="146"/>
    </row>
    <row r="440" spans="2:40" x14ac:dyDescent="0.25">
      <c r="B440" s="12" t="s">
        <v>74</v>
      </c>
      <c r="C440" s="13" t="s">
        <v>358</v>
      </c>
      <c r="D440" s="13" t="s">
        <v>10</v>
      </c>
      <c r="E440" s="858" t="s">
        <v>404</v>
      </c>
      <c r="F440" s="870"/>
      <c r="G440" s="340">
        <f>G441+G442</f>
        <v>0</v>
      </c>
      <c r="H440" s="341">
        <f>H441+H442</f>
        <v>0</v>
      </c>
      <c r="K440" s="12" t="s">
        <v>74</v>
      </c>
      <c r="L440" s="13" t="s">
        <v>358</v>
      </c>
      <c r="M440" s="13" t="s">
        <v>10</v>
      </c>
      <c r="N440" s="858" t="s">
        <v>404</v>
      </c>
      <c r="O440" s="870"/>
      <c r="P440" s="340">
        <f>P441+P442</f>
        <v>0</v>
      </c>
      <c r="Q440" s="341">
        <f>Q441+Q442</f>
        <v>0</v>
      </c>
      <c r="T440" s="12" t="s">
        <v>74</v>
      </c>
      <c r="U440" s="13" t="s">
        <v>358</v>
      </c>
      <c r="V440" s="13" t="s">
        <v>10</v>
      </c>
      <c r="W440" s="858" t="s">
        <v>404</v>
      </c>
      <c r="X440" s="870"/>
      <c r="Y440" s="340">
        <f>Y441+Y442</f>
        <v>0</v>
      </c>
      <c r="Z440" s="340">
        <f>Z441+Z442</f>
        <v>0</v>
      </c>
      <c r="AA440" s="340">
        <f>AA441+AA442</f>
        <v>0</v>
      </c>
      <c r="AB440" s="341">
        <f>AB441+AB442</f>
        <v>0</v>
      </c>
      <c r="AC440" s="146"/>
      <c r="AD440" s="146"/>
      <c r="AE440" s="146"/>
      <c r="AF440" s="146"/>
      <c r="AG440" s="146"/>
      <c r="AH440" s="146"/>
      <c r="AI440" s="146"/>
      <c r="AJ440" s="146"/>
      <c r="AK440" s="146"/>
      <c r="AL440" s="146"/>
      <c r="AM440" s="146"/>
      <c r="AN440" s="146"/>
    </row>
    <row r="441" spans="2:40" x14ac:dyDescent="0.25">
      <c r="B441" s="12" t="s">
        <v>352</v>
      </c>
      <c r="C441" s="13" t="s">
        <v>359</v>
      </c>
      <c r="D441" s="13" t="s">
        <v>10</v>
      </c>
      <c r="E441" s="871"/>
      <c r="F441" s="872"/>
      <c r="G441" s="340">
        <f>IF(YEAR(Postup!$H$25)&gt;$D381,Provozování!$AI84,IF(AND(DAY(Postup!$H$25)=31,MONTH(Postup!$H$25)=12,YEAR(Postup!$H$25)=$D$384),Provozování!$AI84,IF(YEAR(Postup!$H$25)=$D$384,Provozování!$BL$84,0)))</f>
        <v>0</v>
      </c>
      <c r="H441" s="341">
        <f>IF(YEAR(Postup!$H$25)&gt;$D$384,Provozování!$AJ84,IF(AND(DAY(Postup!$H$25)=31,MONTH(Postup!$H$25)=12,YEAR(Postup!$H$25)=$D$384),Provozování!$AJ84,IF(YEAR(Postup!$H$25)=$D$384,Provozování!$BM$84,0)))</f>
        <v>0</v>
      </c>
      <c r="K441" s="12" t="s">
        <v>352</v>
      </c>
      <c r="L441" s="13" t="s">
        <v>359</v>
      </c>
      <c r="M441" s="13" t="s">
        <v>10</v>
      </c>
      <c r="N441" s="871"/>
      <c r="O441" s="872"/>
      <c r="P441" s="340">
        <f>IF(Provozování!$AK$16="Neaktivní",0,Provozování!$AK84)</f>
        <v>0</v>
      </c>
      <c r="Q441" s="341">
        <f>IF(Provozování!AK$16="Neaktivní",0,Provozování!$AL84)</f>
        <v>0</v>
      </c>
      <c r="T441" s="12" t="s">
        <v>352</v>
      </c>
      <c r="U441" s="13" t="s">
        <v>359</v>
      </c>
      <c r="V441" s="13" t="s">
        <v>10</v>
      </c>
      <c r="W441" s="871"/>
      <c r="X441" s="872"/>
      <c r="Y441" s="340">
        <f>Z441</f>
        <v>0</v>
      </c>
      <c r="Z441" s="340">
        <f>IF(Provozování!$AK$16="Neaktivní",G441,P441)</f>
        <v>0</v>
      </c>
      <c r="AA441" s="340">
        <f>AB441</f>
        <v>0</v>
      </c>
      <c r="AB441" s="341">
        <f>IF(Provozování!$AK$16="Neaktivní",H441,Q441)</f>
        <v>0</v>
      </c>
      <c r="AC441" s="146"/>
      <c r="AD441" s="146"/>
      <c r="AE441" s="146"/>
      <c r="AF441" s="146"/>
      <c r="AG441" s="146"/>
      <c r="AH441" s="146"/>
      <c r="AI441" s="146"/>
      <c r="AJ441" s="146"/>
      <c r="AK441" s="146"/>
      <c r="AL441" s="146"/>
      <c r="AM441" s="146"/>
      <c r="AN441" s="146"/>
    </row>
    <row r="442" spans="2:40" x14ac:dyDescent="0.25">
      <c r="B442" s="12" t="s">
        <v>361</v>
      </c>
      <c r="C442" s="13" t="s">
        <v>360</v>
      </c>
      <c r="D442" s="13" t="s">
        <v>10</v>
      </c>
      <c r="E442" s="884"/>
      <c r="F442" s="869"/>
      <c r="G442" s="340">
        <f>IF(YEAR(Postup!$H$25)&gt;$D$384,((-1)*(Provozování!AI102)),IF(AND(DAY(Postup!$H$25)=31,MONTH(Postup!$H$25)=12,YEAR(Postup!$H$25)=$D$384),((-1)*(Provozování!AI102)),IF(YEAR(Postup!$H$25)=$D$384,((-1)*(Provozování!AI102)),0)))</f>
        <v>0</v>
      </c>
      <c r="H442" s="341">
        <f>IF(YEAR(Postup!$H$25)&gt;$D$384,((-1)*(Provozování!AJ102)),IF(AND(DAY(Postup!$H$25)=31,MONTH(Postup!$H$25)=12,YEAR(Postup!$H$25)=$D$384),((-1)*(Provozování!AJ102)),IF(YEAR(Postup!$H$25)=$D$384,((-1)*(Provozování!AJ102)),0)))</f>
        <v>0</v>
      </c>
      <c r="K442" s="12" t="s">
        <v>361</v>
      </c>
      <c r="L442" s="13" t="s">
        <v>360</v>
      </c>
      <c r="M442" s="13" t="s">
        <v>10</v>
      </c>
      <c r="N442" s="884"/>
      <c r="O442" s="869"/>
      <c r="P442" s="340">
        <f>IF(Provozování!$AK$16="Neaktivní",0,((-1)*(Provozování!AI102)))</f>
        <v>0</v>
      </c>
      <c r="Q442" s="341">
        <f>IF(Provozování!$AK$16="Neaktivní",0,((-1)*(Provozování!AJ102)))</f>
        <v>0</v>
      </c>
      <c r="T442" s="12" t="s">
        <v>361</v>
      </c>
      <c r="U442" s="13" t="s">
        <v>360</v>
      </c>
      <c r="V442" s="13" t="s">
        <v>10</v>
      </c>
      <c r="W442" s="884"/>
      <c r="X442" s="869"/>
      <c r="Y442" s="340">
        <f>Z442</f>
        <v>0</v>
      </c>
      <c r="Z442" s="340">
        <f>IF(Provozování!$AK$16="Neaktivní",G442,P442)</f>
        <v>0</v>
      </c>
      <c r="AA442" s="340">
        <f>AB442</f>
        <v>0</v>
      </c>
      <c r="AB442" s="341">
        <f>IF(Provozování!$AK$16="Neaktivní",H442,Q442)</f>
        <v>0</v>
      </c>
      <c r="AC442" s="146"/>
      <c r="AD442" s="146"/>
      <c r="AE442" s="146"/>
      <c r="AF442" s="146"/>
      <c r="AG442" s="146"/>
      <c r="AH442" s="146"/>
      <c r="AI442" s="146"/>
      <c r="AJ442" s="146"/>
      <c r="AK442" s="146"/>
      <c r="AL442" s="146"/>
      <c r="AM442" s="146"/>
      <c r="AN442" s="146"/>
    </row>
    <row r="443" spans="2:40" x14ac:dyDescent="0.25">
      <c r="B443" s="12" t="s">
        <v>75</v>
      </c>
      <c r="C443" s="13" t="s">
        <v>396</v>
      </c>
      <c r="D443" s="13" t="s">
        <v>10</v>
      </c>
      <c r="E443" s="858" t="s">
        <v>405</v>
      </c>
      <c r="F443" s="870"/>
      <c r="G443" s="340">
        <f>F422+G440</f>
        <v>0</v>
      </c>
      <c r="H443" s="341">
        <f>H422+H440</f>
        <v>0</v>
      </c>
      <c r="K443" s="12" t="s">
        <v>75</v>
      </c>
      <c r="L443" s="13" t="s">
        <v>396</v>
      </c>
      <c r="M443" s="13" t="s">
        <v>10</v>
      </c>
      <c r="N443" s="858" t="s">
        <v>405</v>
      </c>
      <c r="O443" s="870"/>
      <c r="P443" s="340">
        <f>O422+P440</f>
        <v>0</v>
      </c>
      <c r="Q443" s="341">
        <f>Q422+Q440</f>
        <v>0</v>
      </c>
      <c r="T443" s="12" t="s">
        <v>75</v>
      </c>
      <c r="U443" s="13" t="s">
        <v>396</v>
      </c>
      <c r="V443" s="13" t="s">
        <v>10</v>
      </c>
      <c r="W443" s="858" t="s">
        <v>405</v>
      </c>
      <c r="X443" s="870"/>
      <c r="Y443" s="14">
        <f>W422+Y440</f>
        <v>0</v>
      </c>
      <c r="Z443" s="14">
        <f>X422+Z440</f>
        <v>0</v>
      </c>
      <c r="AA443" s="14">
        <f>Z422+AA440</f>
        <v>0</v>
      </c>
      <c r="AB443" s="15">
        <f>AA422+AB440</f>
        <v>0</v>
      </c>
      <c r="AC443" s="146"/>
      <c r="AD443" s="146"/>
      <c r="AE443" s="146"/>
      <c r="AF443" s="146"/>
      <c r="AG443" s="146"/>
      <c r="AH443" s="146"/>
      <c r="AI443" s="146"/>
      <c r="AJ443" s="146"/>
      <c r="AK443" s="146"/>
      <c r="AL443" s="146"/>
      <c r="AM443" s="146"/>
      <c r="AN443" s="146"/>
    </row>
    <row r="444" spans="2:40" x14ac:dyDescent="0.25">
      <c r="B444" s="12" t="s">
        <v>76</v>
      </c>
      <c r="C444" s="13" t="s">
        <v>373</v>
      </c>
      <c r="D444" s="13" t="s">
        <v>10</v>
      </c>
      <c r="E444" s="858"/>
      <c r="F444" s="859"/>
      <c r="G444" s="340">
        <f>IF(YEAR(Postup!$H$25)&gt;$D384,Provozování!AI$87,IF(AND(DAY(Postup!$H$25)=31,MONTH(Postup!$H$25)=12,YEAR(Postup!$H$25)=$D$384),Provozování!AI$87,IF(YEAR(Postup!$H$25)=$D$384,Provozování!$BL$87,0)))</f>
        <v>0</v>
      </c>
      <c r="H444" s="341">
        <f>IF(YEAR(Postup!$H$25)&gt;$D$384,Provozování!AJ$87,IF(AND(DAY(Postup!$H$25)=31,MONTH(Postup!$H$25)=12,YEAR(Postup!$H$25)=$D$384),Provozování!AJ$87,IF(YEAR(Postup!$H$25)=$D$384,Provozování!$BM$87,0)))</f>
        <v>0</v>
      </c>
      <c r="K444" s="12" t="s">
        <v>76</v>
      </c>
      <c r="L444" s="13" t="s">
        <v>373</v>
      </c>
      <c r="M444" s="13" t="s">
        <v>10</v>
      </c>
      <c r="N444" s="858"/>
      <c r="O444" s="859"/>
      <c r="P444" s="340">
        <f>IF(Provozování!$AK$16="Neaktivní",0,Provozování!AK$87)</f>
        <v>0</v>
      </c>
      <c r="Q444" s="341">
        <f>IF(Provozování!AK$16="Neaktivní",0,Provozování!AL$87)</f>
        <v>0</v>
      </c>
      <c r="T444" s="12" t="s">
        <v>76</v>
      </c>
      <c r="U444" s="13" t="s">
        <v>373</v>
      </c>
      <c r="V444" s="13" t="s">
        <v>10</v>
      </c>
      <c r="W444" s="858"/>
      <c r="X444" s="859"/>
      <c r="Y444" s="462">
        <f>IF(Provozování!AK16="Aktivní",Provozování!AK87,Provozování!AI87)</f>
        <v>2.3999896640999999E-2</v>
      </c>
      <c r="Z444" s="14">
        <f>IF(Provozování!$AK$16="Neaktivní",G444,P444)</f>
        <v>0</v>
      </c>
      <c r="AA444" s="462">
        <f>IF(Provozování!AK16="Aktivní",Provozování!AL87,Provozování!AJ87)</f>
        <v>0.100000278</v>
      </c>
      <c r="AB444" s="15">
        <f>IF(Provozování!$AK$16="Neaktivní",H444,Q444)</f>
        <v>0</v>
      </c>
      <c r="AC444" s="146"/>
      <c r="AD444" s="146"/>
      <c r="AE444" s="146"/>
      <c r="AF444" s="146"/>
      <c r="AG444" s="146"/>
      <c r="AH444" s="146"/>
      <c r="AI444" s="146"/>
      <c r="AJ444" s="146"/>
      <c r="AK444" s="146"/>
      <c r="AL444" s="146"/>
      <c r="AM444" s="146"/>
      <c r="AN444" s="146"/>
    </row>
    <row r="445" spans="2:40" ht="14.45" customHeight="1" x14ac:dyDescent="0.25">
      <c r="B445" s="12" t="s">
        <v>78</v>
      </c>
      <c r="C445" s="21" t="s">
        <v>402</v>
      </c>
      <c r="D445" s="13" t="s">
        <v>77</v>
      </c>
      <c r="E445" s="875" t="s">
        <v>406</v>
      </c>
      <c r="F445" s="1048"/>
      <c r="G445" s="137">
        <f>IF(G443=0,0,G444/G443*100)</f>
        <v>0</v>
      </c>
      <c r="H445" s="138">
        <f>IF(H443=0,0,H444/H443*100)</f>
        <v>0</v>
      </c>
      <c r="K445" s="12" t="s">
        <v>78</v>
      </c>
      <c r="L445" s="21" t="s">
        <v>402</v>
      </c>
      <c r="M445" s="13" t="s">
        <v>77</v>
      </c>
      <c r="N445" s="875" t="s">
        <v>406</v>
      </c>
      <c r="O445" s="1048"/>
      <c r="P445" s="137">
        <f>IF(P443=0,0,P444/P443*100)</f>
        <v>0</v>
      </c>
      <c r="Q445" s="138">
        <f>IF(Q443=0,0,Q444/Q443*100)</f>
        <v>0</v>
      </c>
      <c r="T445" s="12" t="s">
        <v>78</v>
      </c>
      <c r="U445" s="21" t="s">
        <v>402</v>
      </c>
      <c r="V445" s="13" t="s">
        <v>77</v>
      </c>
      <c r="W445" s="875" t="s">
        <v>406</v>
      </c>
      <c r="X445" s="1048"/>
      <c r="Y445" s="137">
        <f>IF(Y443=0,0,Y444/Y443*100)</f>
        <v>0</v>
      </c>
      <c r="Z445" s="137">
        <f>IF(Z443=0,0,Z444/Z443*100)</f>
        <v>0</v>
      </c>
      <c r="AA445" s="137">
        <f>IF(AA443=0,0,AA444/AA443*100)</f>
        <v>0</v>
      </c>
      <c r="AB445" s="138">
        <f>IF(AB443=0,0,AB444/AB443*100)</f>
        <v>0</v>
      </c>
      <c r="AC445" s="146"/>
      <c r="AD445" s="146"/>
      <c r="AE445" s="146"/>
      <c r="AF445" s="146"/>
      <c r="AG445" s="146"/>
      <c r="AH445" s="146"/>
      <c r="AI445" s="146"/>
      <c r="AJ445" s="146"/>
      <c r="AK445" s="146"/>
      <c r="AL445" s="146"/>
      <c r="AM445" s="146"/>
      <c r="AN445" s="146"/>
    </row>
    <row r="446" spans="2:40" x14ac:dyDescent="0.25">
      <c r="B446" s="12" t="s">
        <v>79</v>
      </c>
      <c r="C446" s="21" t="s">
        <v>408</v>
      </c>
      <c r="D446" s="13" t="s">
        <v>10</v>
      </c>
      <c r="E446" s="858" t="s">
        <v>407</v>
      </c>
      <c r="F446" s="870"/>
      <c r="G446" s="310">
        <v>0</v>
      </c>
      <c r="H446" s="111">
        <v>0</v>
      </c>
      <c r="K446" s="12" t="s">
        <v>79</v>
      </c>
      <c r="L446" s="21" t="s">
        <v>408</v>
      </c>
      <c r="M446" s="13" t="s">
        <v>10</v>
      </c>
      <c r="N446" s="858" t="s">
        <v>407</v>
      </c>
      <c r="O446" s="870"/>
      <c r="P446" s="310">
        <v>0</v>
      </c>
      <c r="Q446" s="111">
        <v>0</v>
      </c>
      <c r="T446" s="12" t="s">
        <v>79</v>
      </c>
      <c r="U446" s="21" t="s">
        <v>408</v>
      </c>
      <c r="V446" s="13" t="s">
        <v>10</v>
      </c>
      <c r="W446" s="858" t="s">
        <v>407</v>
      </c>
      <c r="X446" s="870"/>
      <c r="Y446" s="337">
        <v>0</v>
      </c>
      <c r="Z446" s="337">
        <v>0</v>
      </c>
      <c r="AA446" s="337">
        <v>0</v>
      </c>
      <c r="AB446" s="334">
        <v>0</v>
      </c>
      <c r="AC446" s="146"/>
      <c r="AD446" s="146"/>
      <c r="AE446" s="146"/>
      <c r="AF446" s="146"/>
      <c r="AG446" s="146"/>
      <c r="AH446" s="146"/>
      <c r="AI446" s="146"/>
      <c r="AJ446" s="146"/>
      <c r="AK446" s="146"/>
      <c r="AL446" s="146"/>
      <c r="AM446" s="146"/>
      <c r="AN446" s="146"/>
    </row>
    <row r="447" spans="2:40" x14ac:dyDescent="0.25">
      <c r="B447" s="210" t="s">
        <v>80</v>
      </c>
      <c r="C447" s="532" t="s">
        <v>354</v>
      </c>
      <c r="D447" s="244"/>
      <c r="E447" s="858" t="s">
        <v>409</v>
      </c>
      <c r="F447" s="870"/>
      <c r="G447" s="111">
        <f>G444-G446</f>
        <v>0</v>
      </c>
      <c r="H447" s="111">
        <f>H444-H446</f>
        <v>0</v>
      </c>
      <c r="K447" s="12" t="s">
        <v>80</v>
      </c>
      <c r="L447" s="497" t="s">
        <v>354</v>
      </c>
      <c r="M447" s="13"/>
      <c r="N447" s="858" t="s">
        <v>409</v>
      </c>
      <c r="O447" s="870"/>
      <c r="P447" s="310">
        <f>P444-P446</f>
        <v>0</v>
      </c>
      <c r="Q447" s="111">
        <f>Q444-Q446</f>
        <v>0</v>
      </c>
      <c r="T447" s="12" t="s">
        <v>80</v>
      </c>
      <c r="U447" s="497" t="s">
        <v>354</v>
      </c>
      <c r="V447" s="13"/>
      <c r="W447" s="858" t="s">
        <v>409</v>
      </c>
      <c r="X447" s="870"/>
      <c r="Y447" s="337">
        <f>Y444-Y446</f>
        <v>2.3999896640999999E-2</v>
      </c>
      <c r="Z447" s="337">
        <f>Z444-Z446</f>
        <v>0</v>
      </c>
      <c r="AA447" s="337">
        <f>AA444-AA446</f>
        <v>0.100000278</v>
      </c>
      <c r="AB447" s="334">
        <f>AB444-AB446</f>
        <v>0</v>
      </c>
      <c r="AC447" s="146"/>
      <c r="AD447" s="146"/>
      <c r="AE447" s="146"/>
      <c r="AF447" s="146"/>
      <c r="AG447" s="146"/>
      <c r="AH447" s="146"/>
      <c r="AI447" s="146"/>
      <c r="AJ447" s="146"/>
      <c r="AK447" s="146"/>
      <c r="AL447" s="146"/>
      <c r="AM447" s="146"/>
      <c r="AN447" s="146"/>
    </row>
    <row r="448" spans="2:40" x14ac:dyDescent="0.25">
      <c r="B448" s="210" t="s">
        <v>82</v>
      </c>
      <c r="C448" s="244" t="s">
        <v>395</v>
      </c>
      <c r="D448" s="244" t="s">
        <v>10</v>
      </c>
      <c r="E448" s="858" t="s">
        <v>410</v>
      </c>
      <c r="F448" s="870"/>
      <c r="G448" s="341">
        <f>G443+G444</f>
        <v>0</v>
      </c>
      <c r="H448" s="341">
        <f>H443+H444</f>
        <v>0</v>
      </c>
      <c r="K448" s="12" t="s">
        <v>82</v>
      </c>
      <c r="L448" s="13" t="s">
        <v>395</v>
      </c>
      <c r="M448" s="13" t="s">
        <v>10</v>
      </c>
      <c r="N448" s="858" t="s">
        <v>410</v>
      </c>
      <c r="O448" s="870"/>
      <c r="P448" s="340">
        <f>P443+P444</f>
        <v>0</v>
      </c>
      <c r="Q448" s="341">
        <f>Q443+Q444</f>
        <v>0</v>
      </c>
      <c r="T448" s="12" t="s">
        <v>82</v>
      </c>
      <c r="U448" s="13" t="s">
        <v>395</v>
      </c>
      <c r="V448" s="13" t="s">
        <v>10</v>
      </c>
      <c r="W448" s="858" t="s">
        <v>410</v>
      </c>
      <c r="X448" s="870"/>
      <c r="Y448" s="340">
        <f>Y443+Y444</f>
        <v>2.3999896640999999E-2</v>
      </c>
      <c r="Z448" s="340">
        <f>Z443+Z444</f>
        <v>0</v>
      </c>
      <c r="AA448" s="340">
        <f>AA443+AA444</f>
        <v>0.100000278</v>
      </c>
      <c r="AB448" s="341">
        <f>AB443+AB444</f>
        <v>0</v>
      </c>
      <c r="AC448" s="146"/>
      <c r="AD448" s="146"/>
      <c r="AE448" s="146"/>
      <c r="AF448" s="146"/>
      <c r="AG448" s="146"/>
      <c r="AH448" s="146"/>
      <c r="AI448" s="146"/>
      <c r="AJ448" s="146"/>
      <c r="AK448" s="146"/>
      <c r="AL448" s="146"/>
      <c r="AM448" s="146"/>
      <c r="AN448" s="146"/>
    </row>
    <row r="449" spans="1:40" x14ac:dyDescent="0.25">
      <c r="B449" s="210" t="s">
        <v>83</v>
      </c>
      <c r="C449" s="244" t="s">
        <v>81</v>
      </c>
      <c r="D449" s="244" t="s">
        <v>58</v>
      </c>
      <c r="E449" s="858" t="s">
        <v>411</v>
      </c>
      <c r="F449" s="870"/>
      <c r="G449" s="341">
        <f>IF(F426=0,F432,F426)</f>
        <v>0</v>
      </c>
      <c r="H449" s="341">
        <f>IF(H428+H430=0,H433,H428+H430)</f>
        <v>0</v>
      </c>
      <c r="K449" s="12" t="s">
        <v>83</v>
      </c>
      <c r="L449" s="13" t="s">
        <v>81</v>
      </c>
      <c r="M449" s="13" t="s">
        <v>58</v>
      </c>
      <c r="N449" s="858" t="s">
        <v>411</v>
      </c>
      <c r="O449" s="870"/>
      <c r="P449" s="340">
        <f>IF(O426=0,O432,O426)</f>
        <v>0</v>
      </c>
      <c r="Q449" s="341">
        <f>IF(Q428+Q430=0,Q433,Q428+Q430)</f>
        <v>0</v>
      </c>
      <c r="T449" s="12" t="s">
        <v>83</v>
      </c>
      <c r="U449" s="13" t="s">
        <v>81</v>
      </c>
      <c r="V449" s="13" t="s">
        <v>58</v>
      </c>
      <c r="W449" s="858" t="s">
        <v>411</v>
      </c>
      <c r="X449" s="870"/>
      <c r="Y449" s="14">
        <f>IF(W426=0,W432,W426)</f>
        <v>0</v>
      </c>
      <c r="Z449" s="14">
        <f>IF(X426=0,X432,X426)</f>
        <v>0</v>
      </c>
      <c r="AA449" s="14">
        <f>IF(Z428+Z430=0,Z433,Z428+Z430)</f>
        <v>0</v>
      </c>
      <c r="AB449" s="15">
        <f>IF(AA428+AA430=0,AA433,AA428+AA430)</f>
        <v>0</v>
      </c>
      <c r="AC449" s="146"/>
      <c r="AD449" s="146"/>
      <c r="AE449" s="146"/>
      <c r="AF449" s="146"/>
      <c r="AG449" s="146"/>
      <c r="AH449" s="146"/>
      <c r="AI449" s="146"/>
      <c r="AJ449" s="146"/>
      <c r="AK449" s="146"/>
      <c r="AL449" s="146"/>
      <c r="AM449" s="146"/>
      <c r="AN449" s="146"/>
    </row>
    <row r="450" spans="1:40" x14ac:dyDescent="0.25">
      <c r="B450" s="210" t="s">
        <v>155</v>
      </c>
      <c r="C450" s="244" t="s">
        <v>393</v>
      </c>
      <c r="D450" s="244" t="s">
        <v>73</v>
      </c>
      <c r="E450" s="858" t="s">
        <v>412</v>
      </c>
      <c r="F450" s="870"/>
      <c r="G450" s="138">
        <f>IF(G449=0,0,G448/G449)</f>
        <v>0</v>
      </c>
      <c r="H450" s="138">
        <f>IF(H449=0,0,H448/H449)</f>
        <v>0</v>
      </c>
      <c r="K450" s="210" t="s">
        <v>155</v>
      </c>
      <c r="L450" s="244" t="s">
        <v>393</v>
      </c>
      <c r="M450" s="244" t="s">
        <v>73</v>
      </c>
      <c r="N450" s="858" t="s">
        <v>412</v>
      </c>
      <c r="O450" s="870"/>
      <c r="P450" s="138">
        <f>IF(P449=0,0,P448/P449)</f>
        <v>0</v>
      </c>
      <c r="Q450" s="138">
        <f>IF(Q449=0,0,Q448/Q449)</f>
        <v>0</v>
      </c>
      <c r="T450" s="12" t="s">
        <v>155</v>
      </c>
      <c r="U450" s="13" t="s">
        <v>393</v>
      </c>
      <c r="V450" s="13" t="s">
        <v>73</v>
      </c>
      <c r="W450" s="858" t="s">
        <v>412</v>
      </c>
      <c r="X450" s="870"/>
      <c r="Y450" s="137">
        <f>IF(Y449=0,0,Y448/Y449)</f>
        <v>0</v>
      </c>
      <c r="Z450" s="137">
        <f>IF(Z449=0,0,Z448/Z449)</f>
        <v>0</v>
      </c>
      <c r="AA450" s="137">
        <f>IF(AA449=0,0,AA448/AA449)</f>
        <v>0</v>
      </c>
      <c r="AB450" s="138">
        <f>IF(AB449=0,0,AB448/AB449)</f>
        <v>0</v>
      </c>
      <c r="AC450" s="146"/>
      <c r="AD450" s="146"/>
      <c r="AE450" s="146"/>
      <c r="AF450" s="146"/>
      <c r="AG450" s="146"/>
      <c r="AH450" s="146"/>
      <c r="AI450" s="146"/>
      <c r="AJ450" s="146"/>
      <c r="AK450" s="146"/>
      <c r="AL450" s="146"/>
      <c r="AM450" s="146"/>
      <c r="AN450" s="146"/>
    </row>
    <row r="451" spans="1:40" x14ac:dyDescent="0.25">
      <c r="B451" s="210" t="s">
        <v>355</v>
      </c>
      <c r="C451" s="244" t="str">
        <f>CONCATENATE("UPLATŇOVANÁ CENA pro vodné, stočné +",Provozování!AI97*100,"% DPH")</f>
        <v>UPLATŇOVANÁ CENA pro vodné, stočné +10% DPH</v>
      </c>
      <c r="D451" s="244" t="s">
        <v>73</v>
      </c>
      <c r="E451" s="858" t="s">
        <v>413</v>
      </c>
      <c r="F451" s="870"/>
      <c r="G451" s="138">
        <f>G450*(1+Provozování!AI$97)</f>
        <v>0</v>
      </c>
      <c r="H451" s="138">
        <f>H450*(1+Provozování!AJ$97)</f>
        <v>0</v>
      </c>
      <c r="K451" s="210" t="s">
        <v>355</v>
      </c>
      <c r="L451" s="244" t="str">
        <f>C451</f>
        <v>UPLATŇOVANÁ CENA pro vodné, stočné +10% DPH</v>
      </c>
      <c r="M451" s="244" t="s">
        <v>73</v>
      </c>
      <c r="N451" s="858" t="s">
        <v>413</v>
      </c>
      <c r="O451" s="870"/>
      <c r="P451" s="138">
        <f>P450*(1+Provozování!AI$97)</f>
        <v>0</v>
      </c>
      <c r="Q451" s="138">
        <f>Q450*(1+Provozování!AJ$97)</f>
        <v>0</v>
      </c>
      <c r="T451" s="12" t="s">
        <v>355</v>
      </c>
      <c r="U451" s="13" t="str">
        <f>C451</f>
        <v>UPLATŇOVANÁ CENA pro vodné, stočné +10% DPH</v>
      </c>
      <c r="V451" s="13" t="s">
        <v>73</v>
      </c>
      <c r="W451" s="858" t="s">
        <v>413</v>
      </c>
      <c r="X451" s="870"/>
      <c r="Y451" s="137">
        <f>Y450*(1+Provozování!AI$97)</f>
        <v>0</v>
      </c>
      <c r="Z451" s="137">
        <f>Z450*(1+Provozování!AJ$97)</f>
        <v>0</v>
      </c>
      <c r="AA451" s="137">
        <f>AA450*(1+Provozování!AI$97)</f>
        <v>0</v>
      </c>
      <c r="AB451" s="138">
        <f>AB450*(1+Provozování!AJ$97)</f>
        <v>0</v>
      </c>
      <c r="AC451" s="146"/>
      <c r="AD451" s="146"/>
      <c r="AE451" s="146"/>
      <c r="AF451" s="146"/>
      <c r="AG451" s="146"/>
      <c r="AH451" s="146"/>
      <c r="AI451" s="146"/>
      <c r="AJ451" s="146"/>
      <c r="AK451" s="146"/>
      <c r="AL451" s="146"/>
      <c r="AM451" s="146"/>
      <c r="AN451" s="146"/>
    </row>
    <row r="452" spans="1:40" x14ac:dyDescent="0.25">
      <c r="B452" s="210" t="s">
        <v>356</v>
      </c>
      <c r="C452" s="244" t="s">
        <v>357</v>
      </c>
      <c r="D452" s="244" t="s">
        <v>73</v>
      </c>
      <c r="E452" s="884" t="s">
        <v>414</v>
      </c>
      <c r="F452" s="869"/>
      <c r="G452" s="138">
        <v>0</v>
      </c>
      <c r="H452" s="138">
        <v>0</v>
      </c>
      <c r="K452" s="210" t="s">
        <v>356</v>
      </c>
      <c r="L452" s="244" t="s">
        <v>357</v>
      </c>
      <c r="M452" s="244" t="s">
        <v>73</v>
      </c>
      <c r="N452" s="884" t="s">
        <v>414</v>
      </c>
      <c r="O452" s="869"/>
      <c r="P452" s="138">
        <v>0</v>
      </c>
      <c r="Q452" s="138">
        <v>0</v>
      </c>
      <c r="T452" s="528" t="s">
        <v>356</v>
      </c>
      <c r="U452" s="2" t="s">
        <v>357</v>
      </c>
      <c r="V452" s="2" t="s">
        <v>73</v>
      </c>
      <c r="W452" s="884" t="s">
        <v>414</v>
      </c>
      <c r="X452" s="869"/>
      <c r="Y452" s="529">
        <v>0</v>
      </c>
      <c r="Z452" s="529">
        <v>0</v>
      </c>
      <c r="AA452" s="529">
        <v>0</v>
      </c>
      <c r="AB452" s="530">
        <v>0</v>
      </c>
      <c r="AC452" s="146"/>
      <c r="AD452" s="146"/>
      <c r="AE452" s="146"/>
      <c r="AF452" s="146"/>
      <c r="AG452" s="146"/>
      <c r="AH452" s="146"/>
      <c r="AI452" s="146"/>
      <c r="AJ452" s="146"/>
      <c r="AK452" s="146"/>
      <c r="AL452" s="146"/>
      <c r="AM452" s="146"/>
      <c r="AN452" s="146"/>
    </row>
    <row r="453" spans="1:40" ht="19.5" x14ac:dyDescent="0.25">
      <c r="T453" s="1089" t="s">
        <v>364</v>
      </c>
      <c r="U453" s="1089" t="s">
        <v>154</v>
      </c>
      <c r="V453" s="882" t="s">
        <v>10</v>
      </c>
      <c r="W453" s="854" t="s">
        <v>156</v>
      </c>
      <c r="X453" s="858"/>
      <c r="Y453" s="89" t="s">
        <v>158</v>
      </c>
      <c r="Z453" s="92" t="s">
        <v>159</v>
      </c>
      <c r="AA453" s="89" t="s">
        <v>158</v>
      </c>
      <c r="AB453" s="92" t="s">
        <v>159</v>
      </c>
      <c r="AC453" s="146"/>
      <c r="AD453" s="146"/>
      <c r="AE453" s="146"/>
      <c r="AF453" s="146"/>
      <c r="AG453" s="146"/>
      <c r="AH453" s="146"/>
      <c r="AI453" s="146"/>
      <c r="AJ453" s="146"/>
      <c r="AK453" s="146"/>
      <c r="AL453" s="146"/>
      <c r="AM453" s="146"/>
      <c r="AN453" s="146"/>
    </row>
    <row r="454" spans="1:40" x14ac:dyDescent="0.25">
      <c r="B454" s="383" t="s">
        <v>283</v>
      </c>
      <c r="T454" s="1090"/>
      <c r="U454" s="1090"/>
      <c r="V454" s="1092"/>
      <c r="W454" s="1093">
        <v>0</v>
      </c>
      <c r="X454" s="1094"/>
      <c r="Y454" s="90">
        <f>W384</f>
        <v>2029</v>
      </c>
      <c r="Z454" s="90">
        <f>W384</f>
        <v>2029</v>
      </c>
      <c r="AA454" s="90">
        <f>W384</f>
        <v>2029</v>
      </c>
      <c r="AB454" s="90">
        <f>W384</f>
        <v>2029</v>
      </c>
      <c r="AC454" s="146"/>
      <c r="AD454" s="146"/>
      <c r="AE454" s="146"/>
      <c r="AF454" s="146"/>
      <c r="AG454" s="146"/>
      <c r="AH454" s="146"/>
      <c r="AI454" s="146"/>
      <c r="AJ454" s="146"/>
      <c r="AK454" s="146"/>
      <c r="AL454" s="146"/>
      <c r="AM454" s="146"/>
      <c r="AN454" s="146"/>
    </row>
    <row r="455" spans="1:40" x14ac:dyDescent="0.25">
      <c r="B455" s="383" t="s">
        <v>284</v>
      </c>
      <c r="T455" s="1090"/>
      <c r="U455" s="1090"/>
      <c r="V455" s="1092"/>
      <c r="W455" s="854" t="s">
        <v>157</v>
      </c>
      <c r="X455" s="858"/>
      <c r="Y455" s="91" t="s">
        <v>160</v>
      </c>
      <c r="Z455" s="91" t="s">
        <v>160</v>
      </c>
      <c r="AA455" s="91" t="s">
        <v>161</v>
      </c>
      <c r="AB455" s="91" t="s">
        <v>161</v>
      </c>
      <c r="AC455" s="146"/>
      <c r="AD455" s="146"/>
      <c r="AE455" s="146"/>
      <c r="AF455" s="146"/>
      <c r="AG455" s="146"/>
      <c r="AH455" s="146"/>
      <c r="AI455" s="146"/>
      <c r="AJ455" s="146"/>
      <c r="AK455" s="146"/>
      <c r="AL455" s="146"/>
      <c r="AM455" s="146"/>
      <c r="AN455" s="146"/>
    </row>
    <row r="456" spans="1:40" x14ac:dyDescent="0.25">
      <c r="T456" s="1091"/>
      <c r="U456" s="1091"/>
      <c r="V456" s="883"/>
      <c r="W456" s="1095">
        <v>0</v>
      </c>
      <c r="X456" s="1093"/>
      <c r="Y456" s="464">
        <v>0</v>
      </c>
      <c r="Z456" s="464">
        <v>0</v>
      </c>
      <c r="AA456" s="464">
        <v>0</v>
      </c>
      <c r="AB456" s="464">
        <v>0</v>
      </c>
      <c r="AC456" s="146"/>
      <c r="AD456" s="146"/>
      <c r="AE456" s="146"/>
      <c r="AF456" s="146"/>
      <c r="AG456" s="146"/>
      <c r="AH456" s="146"/>
      <c r="AI456" s="146"/>
      <c r="AJ456" s="146"/>
      <c r="AK456" s="146"/>
      <c r="AL456" s="146"/>
      <c r="AM456" s="146"/>
      <c r="AN456" s="146"/>
    </row>
    <row r="457" spans="1:40" x14ac:dyDescent="0.25">
      <c r="A457" s="252"/>
      <c r="B457" s="29"/>
      <c r="C457" s="29"/>
      <c r="D457" s="29"/>
      <c r="E457" s="29"/>
      <c r="F457" s="29"/>
      <c r="G457" s="29"/>
      <c r="H457" s="29"/>
      <c r="I457" s="29"/>
      <c r="J457" s="29"/>
      <c r="K457" s="29"/>
      <c r="L457" s="29"/>
      <c r="M457" s="29"/>
      <c r="N457" s="29"/>
      <c r="O457" s="29"/>
      <c r="P457" s="29"/>
      <c r="Q457" s="29"/>
      <c r="R457" s="29"/>
      <c r="AC457" s="146"/>
      <c r="AD457" s="146"/>
      <c r="AE457" s="146"/>
      <c r="AF457" s="146"/>
      <c r="AG457" s="338"/>
      <c r="AH457" s="338"/>
    </row>
    <row r="458" spans="1:40" x14ac:dyDescent="0.25">
      <c r="B458" s="899" t="s">
        <v>316</v>
      </c>
      <c r="C458" s="900"/>
      <c r="D458" s="900"/>
      <c r="E458" s="900"/>
      <c r="F458" s="900"/>
      <c r="G458" s="900"/>
      <c r="H458" s="900"/>
      <c r="K458" s="899" t="s">
        <v>317</v>
      </c>
      <c r="L458" s="900"/>
      <c r="M458" s="900"/>
      <c r="N458" s="900"/>
      <c r="O458" s="900"/>
      <c r="P458" s="900"/>
      <c r="Q458" s="900"/>
      <c r="T458" s="899" t="s">
        <v>162</v>
      </c>
      <c r="U458" s="900"/>
      <c r="V458" s="900"/>
      <c r="W458" s="900"/>
      <c r="X458" s="900"/>
      <c r="Y458" s="900"/>
      <c r="Z458" s="900"/>
      <c r="AA458" s="900"/>
      <c r="AB458" s="900"/>
      <c r="AC458" s="146"/>
      <c r="AD458" s="146"/>
      <c r="AK458" s="146"/>
      <c r="AL458" s="146"/>
      <c r="AM458" s="146"/>
      <c r="AN458" s="146"/>
    </row>
    <row r="459" spans="1:40" x14ac:dyDescent="0.25">
      <c r="C459" s="272"/>
      <c r="E459" s="25"/>
      <c r="F459" s="25"/>
      <c r="L459" s="25"/>
      <c r="N459" s="25"/>
      <c r="T459" s="1079" t="s">
        <v>318</v>
      </c>
      <c r="U459" s="1079"/>
      <c r="V459" s="1079"/>
      <c r="W459" s="1079"/>
      <c r="X459" s="1079"/>
      <c r="Y459" s="1079"/>
      <c r="Z459" s="1079"/>
      <c r="AA459" s="1079"/>
      <c r="AB459" s="1079"/>
      <c r="AC459" s="146"/>
      <c r="AD459" s="146"/>
      <c r="AK459" s="146"/>
      <c r="AL459" s="146"/>
      <c r="AM459" s="146"/>
      <c r="AN459" s="146"/>
    </row>
    <row r="460" spans="1:40" x14ac:dyDescent="0.25">
      <c r="C460" s="272" t="s">
        <v>103</v>
      </c>
      <c r="D460" s="274">
        <f>D384+1</f>
        <v>2030</v>
      </c>
      <c r="E460" s="25"/>
      <c r="F460" s="272" t="s">
        <v>221</v>
      </c>
      <c r="G460" s="275" t="str">
        <f>Výpočty!N$48</f>
        <v>-</v>
      </c>
      <c r="H460" s="275" t="str">
        <f>IF(Výpočty!N$49="-"," ",CONCATENATE("- ",DAY(Výpočty!N$49),".",MONTH(Výpočty!N$49),".",D460))</f>
        <v xml:space="preserve"> </v>
      </c>
      <c r="L460" s="272" t="s">
        <v>103</v>
      </c>
      <c r="M460" s="274">
        <f>D460</f>
        <v>2030</v>
      </c>
      <c r="O460" s="272" t="s">
        <v>221</v>
      </c>
      <c r="P460" s="360" t="str">
        <f>Výpočty!N$44</f>
        <v>-</v>
      </c>
      <c r="Q460" s="360" t="str">
        <f>IF(P460="-"," ",H460)</f>
        <v xml:space="preserve"> </v>
      </c>
      <c r="T460" s="333"/>
      <c r="U460" s="333"/>
      <c r="V460" s="342" t="s">
        <v>147</v>
      </c>
      <c r="W460" s="274">
        <f>D460</f>
        <v>2030</v>
      </c>
      <c r="Z460" s="272" t="s">
        <v>221</v>
      </c>
      <c r="AA460" s="275" t="str">
        <f>G460</f>
        <v>-</v>
      </c>
      <c r="AB460" s="275" t="str">
        <f>H460</f>
        <v xml:space="preserve"> </v>
      </c>
      <c r="AC460" s="146"/>
      <c r="AD460" s="146"/>
      <c r="AK460" s="146"/>
      <c r="AL460" s="146"/>
      <c r="AM460" s="146"/>
      <c r="AN460" s="146"/>
    </row>
    <row r="461" spans="1:40" x14ac:dyDescent="0.25">
      <c r="B461" s="13" t="s">
        <v>66</v>
      </c>
      <c r="C461" s="13" t="s">
        <v>89</v>
      </c>
      <c r="D461" s="902" t="str">
        <f t="shared" ref="D461:D466" si="49">D385</f>
        <v>PRVOK s.r.o., IČ 281 28 257</v>
      </c>
      <c r="E461" s="903"/>
      <c r="F461" s="903"/>
      <c r="G461" s="903"/>
      <c r="H461" s="904"/>
      <c r="K461" s="13" t="s">
        <v>66</v>
      </c>
      <c r="L461" s="13" t="s">
        <v>89</v>
      </c>
      <c r="M461" s="1080" t="str">
        <f>D461</f>
        <v>PRVOK s.r.o., IČ 281 28 257</v>
      </c>
      <c r="N461" s="1081"/>
      <c r="O461" s="1081"/>
      <c r="P461" s="1081"/>
      <c r="Q461" s="1081"/>
      <c r="T461" s="13" t="s">
        <v>66</v>
      </c>
      <c r="U461" s="13" t="s">
        <v>89</v>
      </c>
      <c r="V461" s="1080" t="str">
        <f>D461</f>
        <v>PRVOK s.r.o., IČ 281 28 257</v>
      </c>
      <c r="W461" s="1081"/>
      <c r="X461" s="1081"/>
      <c r="Y461" s="1081"/>
      <c r="Z461" s="1081"/>
      <c r="AA461" s="1081"/>
      <c r="AB461" s="1081"/>
      <c r="AC461" s="146"/>
      <c r="AD461" s="146"/>
      <c r="AK461" s="146"/>
      <c r="AL461" s="146"/>
      <c r="AM461" s="146"/>
      <c r="AN461" s="146"/>
    </row>
    <row r="462" spans="1:40" x14ac:dyDescent="0.25">
      <c r="B462" s="13" t="s">
        <v>84</v>
      </c>
      <c r="C462" s="13" t="s">
        <v>90</v>
      </c>
      <c r="D462" s="902" t="str">
        <f t="shared" si="49"/>
        <v>PRVOK s.r.o., IČ 281 28 257</v>
      </c>
      <c r="E462" s="903"/>
      <c r="F462" s="903"/>
      <c r="G462" s="903"/>
      <c r="H462" s="904"/>
      <c r="K462" s="13" t="s">
        <v>84</v>
      </c>
      <c r="L462" s="13" t="s">
        <v>90</v>
      </c>
      <c r="M462" s="1061" t="str">
        <f>D462</f>
        <v>PRVOK s.r.o., IČ 281 28 257</v>
      </c>
      <c r="N462" s="1062"/>
      <c r="O462" s="1062"/>
      <c r="P462" s="1062"/>
      <c r="Q462" s="1063"/>
      <c r="T462" s="13" t="s">
        <v>84</v>
      </c>
      <c r="U462" s="13" t="s">
        <v>90</v>
      </c>
      <c r="V462" s="1061" t="str">
        <f>D462</f>
        <v>PRVOK s.r.o., IČ 281 28 257</v>
      </c>
      <c r="W462" s="1062"/>
      <c r="X462" s="1062"/>
      <c r="Y462" s="1062"/>
      <c r="Z462" s="1062"/>
      <c r="AA462" s="1062"/>
      <c r="AB462" s="1063"/>
      <c r="AC462" s="146"/>
      <c r="AD462" s="146"/>
      <c r="AK462" s="146"/>
      <c r="AL462" s="146"/>
      <c r="AM462" s="146"/>
      <c r="AN462" s="146"/>
    </row>
    <row r="463" spans="1:40" x14ac:dyDescent="0.25">
      <c r="B463" s="13" t="s">
        <v>85</v>
      </c>
      <c r="C463" s="13" t="s">
        <v>91</v>
      </c>
      <c r="D463" s="902" t="str">
        <f t="shared" si="49"/>
        <v>Obec Benešov nad Černou, IČ 00245780</v>
      </c>
      <c r="E463" s="903"/>
      <c r="F463" s="903"/>
      <c r="G463" s="903"/>
      <c r="H463" s="904"/>
      <c r="K463" s="13" t="s">
        <v>85</v>
      </c>
      <c r="L463" s="13" t="s">
        <v>91</v>
      </c>
      <c r="M463" s="1061" t="str">
        <f>D463</f>
        <v>Obec Benešov nad Černou, IČ 00245780</v>
      </c>
      <c r="N463" s="1062"/>
      <c r="O463" s="1062"/>
      <c r="P463" s="1062"/>
      <c r="Q463" s="1063"/>
      <c r="T463" s="13" t="s">
        <v>85</v>
      </c>
      <c r="U463" s="13" t="s">
        <v>91</v>
      </c>
      <c r="V463" s="1061" t="str">
        <f>D463</f>
        <v>Obec Benešov nad Černou, IČ 00245780</v>
      </c>
      <c r="W463" s="1062"/>
      <c r="X463" s="1062"/>
      <c r="Y463" s="1062"/>
      <c r="Z463" s="1062"/>
      <c r="AA463" s="1062"/>
      <c r="AB463" s="1063"/>
      <c r="AC463" s="146"/>
      <c r="AD463" s="146"/>
      <c r="AK463" s="146"/>
      <c r="AL463" s="146"/>
      <c r="AM463" s="146"/>
      <c r="AN463" s="146"/>
    </row>
    <row r="464" spans="1:40" x14ac:dyDescent="0.25">
      <c r="B464" s="13" t="s">
        <v>86</v>
      </c>
      <c r="C464" s="13" t="s">
        <v>93</v>
      </c>
      <c r="D464" s="1055" t="str">
        <f t="shared" si="49"/>
        <v>A</v>
      </c>
      <c r="E464" s="1056"/>
      <c r="F464" s="1056"/>
      <c r="G464" s="1056"/>
      <c r="H464" s="1057"/>
      <c r="K464" s="13" t="s">
        <v>86</v>
      </c>
      <c r="L464" s="13" t="s">
        <v>93</v>
      </c>
      <c r="M464" s="1058" t="str">
        <f>IF($D464="[vyplnit]"," ",$D464)</f>
        <v>A</v>
      </c>
      <c r="N464" s="1059"/>
      <c r="O464" s="1059"/>
      <c r="P464" s="1059"/>
      <c r="Q464" s="1060"/>
      <c r="T464" s="13" t="s">
        <v>86</v>
      </c>
      <c r="U464" s="13" t="s">
        <v>93</v>
      </c>
      <c r="V464" s="1064" t="str">
        <f>IF($D464="[vyplnit]"," ",$D464)</f>
        <v>A</v>
      </c>
      <c r="W464" s="1064"/>
      <c r="X464" s="1064"/>
      <c r="Y464" s="1064"/>
      <c r="Z464" s="1064"/>
      <c r="AA464" s="1064"/>
      <c r="AB464" s="1064"/>
      <c r="AC464" s="146"/>
      <c r="AD464" s="146"/>
      <c r="AK464" s="146"/>
      <c r="AL464" s="146"/>
      <c r="AM464" s="146"/>
      <c r="AN464" s="146"/>
    </row>
    <row r="465" spans="2:40" x14ac:dyDescent="0.25">
      <c r="B465" s="13" t="s">
        <v>87</v>
      </c>
      <c r="C465" s="13" t="s">
        <v>92</v>
      </c>
      <c r="D465" s="1055">
        <f t="shared" si="49"/>
        <v>1</v>
      </c>
      <c r="E465" s="1056"/>
      <c r="F465" s="1056"/>
      <c r="G465" s="1056"/>
      <c r="H465" s="1057"/>
      <c r="K465" s="13" t="s">
        <v>87</v>
      </c>
      <c r="L465" s="13" t="s">
        <v>92</v>
      </c>
      <c r="M465" s="1058">
        <f>IF($D465="[vyplnit]"," ",$D465)</f>
        <v>1</v>
      </c>
      <c r="N465" s="1059"/>
      <c r="O465" s="1059"/>
      <c r="P465" s="1059"/>
      <c r="Q465" s="1060"/>
      <c r="T465" s="13" t="s">
        <v>87</v>
      </c>
      <c r="U465" s="13" t="s">
        <v>92</v>
      </c>
      <c r="V465" s="1064">
        <f>IF($D465="[vyplnit]"," ",$D465)</f>
        <v>1</v>
      </c>
      <c r="W465" s="1064"/>
      <c r="X465" s="1064"/>
      <c r="Y465" s="1064"/>
      <c r="Z465" s="1064"/>
      <c r="AA465" s="1064"/>
      <c r="AB465" s="1064"/>
      <c r="AC465" s="146"/>
      <c r="AD465" s="146"/>
      <c r="AK465" s="146"/>
      <c r="AL465" s="146"/>
      <c r="AM465" s="146"/>
      <c r="AN465" s="146"/>
    </row>
    <row r="466" spans="2:40" x14ac:dyDescent="0.25">
      <c r="B466" s="13" t="s">
        <v>88</v>
      </c>
      <c r="C466" s="13" t="s">
        <v>94</v>
      </c>
      <c r="D466" s="1055" t="str">
        <f t="shared" si="49"/>
        <v>[vyplnit]</v>
      </c>
      <c r="E466" s="1056"/>
      <c r="F466" s="1056"/>
      <c r="G466" s="1056"/>
      <c r="H466" s="1057"/>
      <c r="K466" s="13" t="s">
        <v>88</v>
      </c>
      <c r="L466" s="13" t="s">
        <v>94</v>
      </c>
      <c r="M466" s="1058" t="str">
        <f>IF($D466="[vyplnit]"," ",$D466)</f>
        <v xml:space="preserve"> </v>
      </c>
      <c r="N466" s="1059"/>
      <c r="O466" s="1059"/>
      <c r="P466" s="1059"/>
      <c r="Q466" s="1060"/>
      <c r="T466" s="13" t="s">
        <v>88</v>
      </c>
      <c r="U466" s="13" t="s">
        <v>94</v>
      </c>
      <c r="V466" s="1064" t="str">
        <f>IF($D466="[vyplnit]"," ",$D466)</f>
        <v xml:space="preserve"> </v>
      </c>
      <c r="W466" s="1064"/>
      <c r="X466" s="1064"/>
      <c r="Y466" s="1064"/>
      <c r="Z466" s="1064"/>
      <c r="AA466" s="1064"/>
      <c r="AB466" s="1064"/>
      <c r="AC466" s="146"/>
      <c r="AD466" s="146"/>
      <c r="AK466" s="146"/>
      <c r="AL466" s="146"/>
      <c r="AM466" s="146"/>
      <c r="AN466" s="146"/>
    </row>
    <row r="467" spans="2:40" x14ac:dyDescent="0.25">
      <c r="AC467" s="146"/>
      <c r="AK467" s="146"/>
      <c r="AL467" s="146"/>
      <c r="AM467" s="146"/>
      <c r="AN467" s="146"/>
    </row>
    <row r="468" spans="2:40" x14ac:dyDescent="0.25">
      <c r="B468" s="1052" t="s">
        <v>5</v>
      </c>
      <c r="C468" s="884" t="s">
        <v>0</v>
      </c>
      <c r="D468" s="868"/>
      <c r="E468" s="868"/>
      <c r="F468" s="868"/>
      <c r="G468" s="868"/>
      <c r="H468" s="869"/>
      <c r="K468" s="1052" t="s">
        <v>5</v>
      </c>
      <c r="L468" s="884" t="s">
        <v>0</v>
      </c>
      <c r="M468" s="868"/>
      <c r="N468" s="868"/>
      <c r="O468" s="868"/>
      <c r="P468" s="868"/>
      <c r="Q468" s="869"/>
      <c r="T468" s="1052" t="s">
        <v>5</v>
      </c>
      <c r="U468" s="884" t="s">
        <v>0</v>
      </c>
      <c r="V468" s="868"/>
      <c r="W468" s="868"/>
      <c r="X468" s="868"/>
      <c r="Y468" s="868"/>
      <c r="Z468" s="868"/>
      <c r="AA468" s="868"/>
      <c r="AB468" s="869"/>
      <c r="AC468" s="146"/>
      <c r="AK468" s="146"/>
      <c r="AL468" s="146"/>
      <c r="AM468" s="146"/>
      <c r="AN468" s="146"/>
    </row>
    <row r="469" spans="2:40" x14ac:dyDescent="0.25">
      <c r="B469" s="1053"/>
      <c r="C469" s="1052" t="s">
        <v>1</v>
      </c>
      <c r="D469" s="1065" t="s">
        <v>133</v>
      </c>
      <c r="E469" s="884" t="s">
        <v>3</v>
      </c>
      <c r="F469" s="868"/>
      <c r="G469" s="884" t="s">
        <v>4</v>
      </c>
      <c r="H469" s="869"/>
      <c r="K469" s="1053"/>
      <c r="L469" s="1052" t="s">
        <v>1</v>
      </c>
      <c r="M469" s="1065" t="s">
        <v>133</v>
      </c>
      <c r="N469" s="884" t="s">
        <v>3</v>
      </c>
      <c r="O469" s="868"/>
      <c r="P469" s="884" t="s">
        <v>4</v>
      </c>
      <c r="Q469" s="869"/>
      <c r="T469" s="1053"/>
      <c r="U469" s="1052" t="s">
        <v>1</v>
      </c>
      <c r="V469" s="1065" t="s">
        <v>133</v>
      </c>
      <c r="W469" s="884" t="s">
        <v>3</v>
      </c>
      <c r="X469" s="868"/>
      <c r="Y469" s="868"/>
      <c r="Z469" s="884" t="s">
        <v>4</v>
      </c>
      <c r="AA469" s="868"/>
      <c r="AB469" s="869"/>
      <c r="AC469" s="146"/>
      <c r="AK469" s="146"/>
      <c r="AL469" s="146"/>
      <c r="AM469" s="146"/>
      <c r="AN469" s="146"/>
    </row>
    <row r="470" spans="2:40" x14ac:dyDescent="0.25">
      <c r="B470" s="1053"/>
      <c r="C470" s="1053"/>
      <c r="D470" s="1053"/>
      <c r="E470" s="28">
        <f>D460-1</f>
        <v>2029</v>
      </c>
      <c r="F470" s="28">
        <f>D460</f>
        <v>2030</v>
      </c>
      <c r="G470" s="28">
        <f>D460-1</f>
        <v>2029</v>
      </c>
      <c r="H470" s="28">
        <f>D460</f>
        <v>2030</v>
      </c>
      <c r="K470" s="1053"/>
      <c r="L470" s="1053"/>
      <c r="M470" s="1053"/>
      <c r="N470" s="28">
        <f>M460-1</f>
        <v>2029</v>
      </c>
      <c r="O470" s="28">
        <f>M460</f>
        <v>2030</v>
      </c>
      <c r="P470" s="28">
        <f>M460-1</f>
        <v>2029</v>
      </c>
      <c r="Q470" s="28">
        <f>M460</f>
        <v>2030</v>
      </c>
      <c r="T470" s="1053"/>
      <c r="U470" s="1053"/>
      <c r="V470" s="1053"/>
      <c r="W470" s="28">
        <f>W460</f>
        <v>2030</v>
      </c>
      <c r="X470" s="28">
        <f>W460</f>
        <v>2030</v>
      </c>
      <c r="Y470" s="28">
        <f>W460</f>
        <v>2030</v>
      </c>
      <c r="Z470" s="28">
        <f>W460</f>
        <v>2030</v>
      </c>
      <c r="AA470" s="28">
        <f>W460</f>
        <v>2030</v>
      </c>
      <c r="AB470" s="28">
        <f>W460</f>
        <v>2030</v>
      </c>
      <c r="AC470" s="146"/>
      <c r="AK470" s="146"/>
      <c r="AL470" s="146"/>
      <c r="AM470" s="146"/>
      <c r="AN470" s="146"/>
    </row>
    <row r="471" spans="2:40" x14ac:dyDescent="0.25">
      <c r="B471" s="1054"/>
      <c r="C471" s="1054"/>
      <c r="D471" s="1054"/>
      <c r="E471" s="7" t="s">
        <v>151</v>
      </c>
      <c r="F471" s="7" t="s">
        <v>98</v>
      </c>
      <c r="G471" s="7" t="s">
        <v>151</v>
      </c>
      <c r="H471" s="19" t="s">
        <v>98</v>
      </c>
      <c r="K471" s="1054"/>
      <c r="L471" s="1054"/>
      <c r="M471" s="1054"/>
      <c r="N471" s="7" t="s">
        <v>151</v>
      </c>
      <c r="O471" s="7" t="s">
        <v>98</v>
      </c>
      <c r="P471" s="7" t="s">
        <v>151</v>
      </c>
      <c r="Q471" s="19" t="s">
        <v>98</v>
      </c>
      <c r="T471" s="1054"/>
      <c r="U471" s="1054"/>
      <c r="V471" s="1054"/>
      <c r="W471" s="7" t="s">
        <v>150</v>
      </c>
      <c r="X471" s="7" t="s">
        <v>98</v>
      </c>
      <c r="Y471" s="7" t="s">
        <v>149</v>
      </c>
      <c r="Z471" s="7" t="s">
        <v>150</v>
      </c>
      <c r="AA471" s="7" t="s">
        <v>98</v>
      </c>
      <c r="AB471" s="19" t="s">
        <v>149</v>
      </c>
      <c r="AC471" s="146"/>
      <c r="AK471" s="146"/>
      <c r="AL471" s="146"/>
      <c r="AM471" s="146"/>
      <c r="AN471" s="146"/>
    </row>
    <row r="472" spans="2:40" x14ac:dyDescent="0.25">
      <c r="B472" s="11">
        <v>1</v>
      </c>
      <c r="C472" s="11">
        <v>2</v>
      </c>
      <c r="D472" s="11" t="s">
        <v>95</v>
      </c>
      <c r="E472" s="11">
        <v>3</v>
      </c>
      <c r="F472" s="11">
        <v>4</v>
      </c>
      <c r="G472" s="11">
        <v>6</v>
      </c>
      <c r="H472" s="22">
        <v>7</v>
      </c>
      <c r="K472" s="11">
        <v>1</v>
      </c>
      <c r="L472" s="11">
        <v>2</v>
      </c>
      <c r="M472" s="11" t="s">
        <v>95</v>
      </c>
      <c r="N472" s="11">
        <v>3</v>
      </c>
      <c r="O472" s="11">
        <v>4</v>
      </c>
      <c r="P472" s="11">
        <v>6</v>
      </c>
      <c r="Q472" s="22">
        <v>7</v>
      </c>
      <c r="T472" s="11">
        <v>1</v>
      </c>
      <c r="U472" s="11">
        <v>2</v>
      </c>
      <c r="V472" s="11" t="s">
        <v>95</v>
      </c>
      <c r="W472" s="11">
        <v>3</v>
      </c>
      <c r="X472" s="11">
        <v>4</v>
      </c>
      <c r="Y472" s="11">
        <v>5</v>
      </c>
      <c r="Z472" s="11">
        <v>6</v>
      </c>
      <c r="AA472" s="11">
        <v>7</v>
      </c>
      <c r="AB472" s="22">
        <v>8</v>
      </c>
      <c r="AC472" s="146"/>
      <c r="AK472" s="146"/>
      <c r="AL472" s="146"/>
      <c r="AM472" s="146"/>
      <c r="AN472" s="146"/>
    </row>
    <row r="473" spans="2:40" x14ac:dyDescent="0.25">
      <c r="B473" s="9" t="s">
        <v>8</v>
      </c>
      <c r="C473" s="10" t="s">
        <v>9</v>
      </c>
      <c r="D473" s="11" t="s">
        <v>10</v>
      </c>
      <c r="E473" s="41">
        <f>SUM(E474:E477)</f>
        <v>0</v>
      </c>
      <c r="F473" s="41">
        <f>SUM(F474:F477)</f>
        <v>0</v>
      </c>
      <c r="G473" s="41">
        <f>SUM(G474:G477)</f>
        <v>0</v>
      </c>
      <c r="H473" s="86">
        <f>SUM(H474:H477)</f>
        <v>0</v>
      </c>
      <c r="K473" s="9" t="s">
        <v>8</v>
      </c>
      <c r="L473" s="10" t="s">
        <v>9</v>
      </c>
      <c r="M473" s="11" t="s">
        <v>10</v>
      </c>
      <c r="N473" s="41">
        <f>SUM(N474:N477)</f>
        <v>0</v>
      </c>
      <c r="O473" s="41">
        <f>SUM(O474:O477)</f>
        <v>0</v>
      </c>
      <c r="P473" s="41">
        <f>SUM(P474:P477)</f>
        <v>0</v>
      </c>
      <c r="Q473" s="86">
        <f>SUM(Q474:Q477)</f>
        <v>0</v>
      </c>
      <c r="T473" s="9" t="s">
        <v>8</v>
      </c>
      <c r="U473" s="10" t="s">
        <v>9</v>
      </c>
      <c r="V473" s="11" t="s">
        <v>10</v>
      </c>
      <c r="W473" s="86">
        <f t="shared" ref="W473:AB473" si="50">SUM(W474:W477)</f>
        <v>0</v>
      </c>
      <c r="X473" s="86">
        <f t="shared" si="50"/>
        <v>0</v>
      </c>
      <c r="Y473" s="86">
        <f t="shared" si="50"/>
        <v>0</v>
      </c>
      <c r="Z473" s="86">
        <f t="shared" si="50"/>
        <v>0</v>
      </c>
      <c r="AA473" s="86">
        <f t="shared" si="50"/>
        <v>0</v>
      </c>
      <c r="AB473" s="86">
        <f t="shared" si="50"/>
        <v>0</v>
      </c>
      <c r="AC473" s="146"/>
      <c r="AK473" s="146"/>
      <c r="AL473" s="146"/>
      <c r="AM473" s="146"/>
      <c r="AN473" s="146"/>
    </row>
    <row r="474" spans="2:40" x14ac:dyDescent="0.25">
      <c r="B474" s="12" t="s">
        <v>11</v>
      </c>
      <c r="C474" s="13" t="s">
        <v>12</v>
      </c>
      <c r="D474" s="3" t="s">
        <v>10</v>
      </c>
      <c r="E474" s="44">
        <v>0</v>
      </c>
      <c r="F474" s="44">
        <f>IF(YEAR(Postup!$H$25)&gt;$D$460,Provozování!AN23,IF(AND(DAY(Postup!$H$25)=31,MONTH(Postup!$H$25)=12,YEAR(Postup!$H$25)=$D$460),Provozování!AN23,IF(YEAR(Postup!$H$25)=$D$460,Provozování!$BL23,0)))</f>
        <v>0</v>
      </c>
      <c r="G474" s="44">
        <v>0</v>
      </c>
      <c r="H474" s="334">
        <v>0</v>
      </c>
      <c r="K474" s="12" t="s">
        <v>11</v>
      </c>
      <c r="L474" s="13" t="s">
        <v>12</v>
      </c>
      <c r="M474" s="3" t="s">
        <v>10</v>
      </c>
      <c r="N474" s="44">
        <v>0</v>
      </c>
      <c r="O474" s="44">
        <f>IF(Provozování!$AP$16="Neaktivní",0,Provozování!AP23)</f>
        <v>0</v>
      </c>
      <c r="P474" s="44">
        <v>0</v>
      </c>
      <c r="Q474" s="334">
        <v>0</v>
      </c>
      <c r="T474" s="12" t="s">
        <v>11</v>
      </c>
      <c r="U474" s="13" t="s">
        <v>12</v>
      </c>
      <c r="V474" s="3" t="s">
        <v>10</v>
      </c>
      <c r="W474" s="462">
        <v>0</v>
      </c>
      <c r="X474" s="44">
        <f>IF(Provozování!$AP$16="Neaktivní",F474,O474)</f>
        <v>0</v>
      </c>
      <c r="Y474" s="44">
        <f>W474-X474</f>
        <v>0</v>
      </c>
      <c r="Z474" s="337">
        <v>0</v>
      </c>
      <c r="AA474" s="337">
        <v>0</v>
      </c>
      <c r="AB474" s="334">
        <v>0</v>
      </c>
      <c r="AC474" s="146"/>
      <c r="AK474" s="146"/>
      <c r="AL474" s="146"/>
      <c r="AM474" s="146"/>
      <c r="AN474" s="146"/>
    </row>
    <row r="475" spans="2:40" x14ac:dyDescent="0.25">
      <c r="B475" s="12" t="s">
        <v>13</v>
      </c>
      <c r="C475" s="12" t="s">
        <v>14</v>
      </c>
      <c r="D475" s="3" t="s">
        <v>10</v>
      </c>
      <c r="E475" s="52">
        <v>0</v>
      </c>
      <c r="F475" s="44">
        <f>IF(YEAR(Postup!$H$25)&gt;$D$460,Provozování!AN24,IF(AND(DAY(Postup!$H$25)=31,MONTH(Postup!$H$25)=12,YEAR(Postup!$H$25)=$D$460),Provozování!AN24,IF(YEAR(Postup!$H$25)=$D$460,Provozování!$BL24,0)))</f>
        <v>0</v>
      </c>
      <c r="G475" s="52">
        <v>0</v>
      </c>
      <c r="H475" s="30">
        <f>IF(YEAR(Postup!$H$25)&gt;$D$460,Provozování!AO24,IF(AND(DAY(Postup!$H$25)=31,MONTH(Postup!$H$25)=12,YEAR(Postup!$H$25)=$D$460),Provozování!AO24,IF(YEAR(Postup!$H$25)=$D$460,Provozování!$BM24,0)))</f>
        <v>0</v>
      </c>
      <c r="K475" s="12" t="s">
        <v>13</v>
      </c>
      <c r="L475" s="12" t="s">
        <v>14</v>
      </c>
      <c r="M475" s="3" t="s">
        <v>10</v>
      </c>
      <c r="N475" s="52">
        <v>0</v>
      </c>
      <c r="O475" s="44">
        <f>IF(Provozování!$AP$16="Neaktivní",0,Provozování!AP24)</f>
        <v>0</v>
      </c>
      <c r="P475" s="52">
        <v>0</v>
      </c>
      <c r="Q475" s="53">
        <f>IF(Provozování!$AP$16="Neaktivní",0,Provozování!AQ24)</f>
        <v>0</v>
      </c>
      <c r="T475" s="12" t="s">
        <v>13</v>
      </c>
      <c r="U475" s="12" t="s">
        <v>14</v>
      </c>
      <c r="V475" s="3" t="s">
        <v>10</v>
      </c>
      <c r="W475" s="463">
        <v>0</v>
      </c>
      <c r="X475" s="44">
        <f>IF(Provozování!$AP$16="Neaktivní",F475,O475)</f>
        <v>0</v>
      </c>
      <c r="Y475" s="44">
        <f>W475-X475</f>
        <v>0</v>
      </c>
      <c r="Z475" s="463">
        <v>0</v>
      </c>
      <c r="AA475" s="44">
        <f>IF(Provozování!$AP$16="Neaktivní",H475,Q475)</f>
        <v>0</v>
      </c>
      <c r="AB475" s="30">
        <f>Z475-AA475</f>
        <v>0</v>
      </c>
      <c r="AC475" s="146"/>
      <c r="AK475" s="146"/>
      <c r="AL475" s="146"/>
      <c r="AM475" s="146"/>
      <c r="AN475" s="146"/>
    </row>
    <row r="476" spans="2:40" x14ac:dyDescent="0.25">
      <c r="B476" s="12" t="s">
        <v>15</v>
      </c>
      <c r="C476" s="13" t="s">
        <v>16</v>
      </c>
      <c r="D476" s="3" t="s">
        <v>10</v>
      </c>
      <c r="E476" s="30">
        <v>0</v>
      </c>
      <c r="F476" s="457">
        <f>IF(YEAR(Postup!$H$25)&gt;$D$460,Provozování!AN25,IF(AND(DAY(Postup!$H$25)=31,MONTH(Postup!$H$25)=12,YEAR(Postup!$H$25)=$D$460),Provozování!AN25,IF(YEAR(Postup!$H$25)=$D$460,Provozování!$BL25,0)))</f>
        <v>0</v>
      </c>
      <c r="G476" s="30">
        <v>0</v>
      </c>
      <c r="H476" s="457">
        <f>IF(YEAR(Postup!$H$25)&gt;$D$460,Provozování!AO25,IF(AND(DAY(Postup!$H$25)=31,MONTH(Postup!$H$25)=12,YEAR(Postup!$H$25)=$D$460),Provozování!AO25,IF(YEAR(Postup!$H$25)=$D$460,Provozování!$BM25,0)))</f>
        <v>0</v>
      </c>
      <c r="K476" s="12" t="s">
        <v>15</v>
      </c>
      <c r="L476" s="13" t="s">
        <v>16</v>
      </c>
      <c r="M476" s="3" t="s">
        <v>10</v>
      </c>
      <c r="N476" s="30">
        <v>0</v>
      </c>
      <c r="O476" s="457">
        <f>IF(Provozování!$AP$16="Neaktivní",0,Provozování!AP25)</f>
        <v>0</v>
      </c>
      <c r="P476" s="30">
        <v>0</v>
      </c>
      <c r="Q476" s="457">
        <f>IF(Provozování!$AP$16="Neaktivní",0,Provozování!AQ25)</f>
        <v>0</v>
      </c>
      <c r="T476" s="12" t="s">
        <v>15</v>
      </c>
      <c r="U476" s="13" t="s">
        <v>16</v>
      </c>
      <c r="V476" s="3" t="s">
        <v>10</v>
      </c>
      <c r="W476" s="464">
        <v>0</v>
      </c>
      <c r="X476" s="44">
        <f>IF(Provozování!$AP$16="Neaktivní",F476,O476)</f>
        <v>0</v>
      </c>
      <c r="Y476" s="44">
        <f>W476-X476</f>
        <v>0</v>
      </c>
      <c r="Z476" s="464">
        <v>0</v>
      </c>
      <c r="AA476" s="44">
        <f>IF(Provozování!$AP$16="Neaktivní",H476,Q476)</f>
        <v>0</v>
      </c>
      <c r="AB476" s="30">
        <f>Z476-AA476</f>
        <v>0</v>
      </c>
      <c r="AC476" s="146"/>
      <c r="AK476" s="146"/>
      <c r="AL476" s="146"/>
      <c r="AM476" s="146"/>
      <c r="AN476" s="146"/>
    </row>
    <row r="477" spans="2:40" x14ac:dyDescent="0.25">
      <c r="B477" s="12" t="s">
        <v>17</v>
      </c>
      <c r="C477" s="13" t="s">
        <v>18</v>
      </c>
      <c r="D477" s="3" t="s">
        <v>10</v>
      </c>
      <c r="E477" s="87">
        <v>0</v>
      </c>
      <c r="F477" s="457">
        <f>IF(YEAR(Postup!$H$25)&gt;$D$460,Provozování!AN26,IF(AND(DAY(Postup!$H$25)=31,MONTH(Postup!$H$25)=12,YEAR(Postup!$H$25)=$D$460),Provozování!AN26,IF(YEAR(Postup!$H$25)=$D$460,Provozování!$BL26,0)))</f>
        <v>0</v>
      </c>
      <c r="G477" s="87">
        <v>0</v>
      </c>
      <c r="H477" s="457">
        <f>IF(YEAR(Postup!$H$25)&gt;$D$460,Provozování!AO26,IF(AND(DAY(Postup!$H$25)=31,MONTH(Postup!$H$25)=12,YEAR(Postup!$H$25)=$D$460),Provozování!AO26,IF(YEAR(Postup!$H$25)=$D$460,Provozování!$BM26,0)))</f>
        <v>0</v>
      </c>
      <c r="K477" s="12" t="s">
        <v>17</v>
      </c>
      <c r="L477" s="13" t="s">
        <v>18</v>
      </c>
      <c r="M477" s="3" t="s">
        <v>10</v>
      </c>
      <c r="N477" s="87">
        <v>0</v>
      </c>
      <c r="O477" s="457">
        <f>IF(Provozování!$AP$16="Neaktivní",0,Provozování!AP26)</f>
        <v>0</v>
      </c>
      <c r="P477" s="87">
        <v>0</v>
      </c>
      <c r="Q477" s="457">
        <f>IF(Provozování!$AP$16="Neaktivní",0,Provozování!AQ26)</f>
        <v>0</v>
      </c>
      <c r="T477" s="12" t="s">
        <v>17</v>
      </c>
      <c r="U477" s="13" t="s">
        <v>18</v>
      </c>
      <c r="V477" s="3" t="s">
        <v>10</v>
      </c>
      <c r="W477" s="465">
        <v>0</v>
      </c>
      <c r="X477" s="44">
        <f>IF(Provozování!$AP$16="Neaktivní",F477,O477)</f>
        <v>0</v>
      </c>
      <c r="Y477" s="44">
        <f>W477-X477</f>
        <v>0</v>
      </c>
      <c r="Z477" s="465">
        <v>0</v>
      </c>
      <c r="AA477" s="44">
        <f>IF(Provozování!$AP$16="Neaktivní",H477,Q477)</f>
        <v>0</v>
      </c>
      <c r="AB477" s="30">
        <f>Z477-AA477</f>
        <v>0</v>
      </c>
      <c r="AC477" s="146"/>
      <c r="AK477" s="146"/>
      <c r="AL477" s="146"/>
      <c r="AM477" s="146"/>
      <c r="AN477" s="146"/>
    </row>
    <row r="478" spans="2:40" x14ac:dyDescent="0.25">
      <c r="B478" s="9" t="s">
        <v>19</v>
      </c>
      <c r="C478" s="10" t="s">
        <v>20</v>
      </c>
      <c r="D478" s="11" t="s">
        <v>10</v>
      </c>
      <c r="E478" s="88">
        <f>SUM(E479:E480)</f>
        <v>0</v>
      </c>
      <c r="F478" s="88">
        <f>SUM(F479:F480)</f>
        <v>0</v>
      </c>
      <c r="G478" s="88">
        <f>SUM(G479:G480)</f>
        <v>0</v>
      </c>
      <c r="H478" s="86">
        <f>SUM(H479:H480)</f>
        <v>0</v>
      </c>
      <c r="K478" s="9" t="s">
        <v>19</v>
      </c>
      <c r="L478" s="10" t="s">
        <v>20</v>
      </c>
      <c r="M478" s="11" t="s">
        <v>10</v>
      </c>
      <c r="N478" s="88">
        <f>SUM(N479:N480)</f>
        <v>0</v>
      </c>
      <c r="O478" s="88">
        <f>SUM(O479:O480)</f>
        <v>0</v>
      </c>
      <c r="P478" s="88">
        <f>SUM(P479:P480)</f>
        <v>0</v>
      </c>
      <c r="Q478" s="86">
        <f>SUM(Q479:Q480)</f>
        <v>0</v>
      </c>
      <c r="T478" s="9" t="s">
        <v>19</v>
      </c>
      <c r="U478" s="10" t="s">
        <v>20</v>
      </c>
      <c r="V478" s="11" t="s">
        <v>10</v>
      </c>
      <c r="W478" s="86">
        <f t="shared" ref="W478:AB478" si="51">SUM(W479:W480)</f>
        <v>0</v>
      </c>
      <c r="X478" s="86">
        <f t="shared" si="51"/>
        <v>0</v>
      </c>
      <c r="Y478" s="86">
        <f t="shared" si="51"/>
        <v>0</v>
      </c>
      <c r="Z478" s="86">
        <f t="shared" si="51"/>
        <v>0</v>
      </c>
      <c r="AA478" s="86">
        <f t="shared" si="51"/>
        <v>0</v>
      </c>
      <c r="AB478" s="86">
        <f t="shared" si="51"/>
        <v>0</v>
      </c>
      <c r="AC478" s="146"/>
      <c r="AK478" s="146"/>
      <c r="AL478" s="146"/>
      <c r="AM478" s="146"/>
      <c r="AN478" s="146"/>
    </row>
    <row r="479" spans="2:40" x14ac:dyDescent="0.25">
      <c r="B479" s="12" t="s">
        <v>21</v>
      </c>
      <c r="C479" s="12" t="s">
        <v>22</v>
      </c>
      <c r="D479" s="3" t="s">
        <v>10</v>
      </c>
      <c r="E479" s="30">
        <v>0</v>
      </c>
      <c r="F479" s="457">
        <f>IF(YEAR(Postup!$H$25)&gt;$D$460,Provozování!AN28,IF(AND(DAY(Postup!$H$25)=31,MONTH(Postup!$H$25)=12,YEAR(Postup!$H$25)=$D$460),Provozování!AN28,IF(YEAR(Postup!$H$25)=$D$460,Provozování!$BL28,0)))</f>
        <v>0</v>
      </c>
      <c r="G479" s="30">
        <v>0</v>
      </c>
      <c r="H479" s="457">
        <f>IF(YEAR(Postup!$H$25)&gt;$D$460,Provozování!AO28,IF(AND(DAY(Postup!$H$25)=31,MONTH(Postup!$H$25)=12,YEAR(Postup!$H$25)=$D$460),Provozování!AO28,IF(YEAR(Postup!$H$25)=$D$460,Provozování!$BM28,0)))</f>
        <v>0</v>
      </c>
      <c r="K479" s="12" t="s">
        <v>21</v>
      </c>
      <c r="L479" s="12" t="s">
        <v>22</v>
      </c>
      <c r="M479" s="3" t="s">
        <v>10</v>
      </c>
      <c r="N479" s="30">
        <v>0</v>
      </c>
      <c r="O479" s="457">
        <f>IF(Provozování!$AP$16="Neaktivní",0,Provozování!AP28)</f>
        <v>0</v>
      </c>
      <c r="P479" s="30">
        <v>0</v>
      </c>
      <c r="Q479" s="457">
        <f>IF(Provozování!$AP$16="Neaktivní",0,Provozování!AQ28)</f>
        <v>0</v>
      </c>
      <c r="T479" s="12" t="s">
        <v>21</v>
      </c>
      <c r="U479" s="12" t="s">
        <v>22</v>
      </c>
      <c r="V479" s="3" t="s">
        <v>10</v>
      </c>
      <c r="W479" s="462">
        <v>0</v>
      </c>
      <c r="X479" s="44">
        <f>IF(Provozování!$AP$16="Neaktivní",F479,O479)</f>
        <v>0</v>
      </c>
      <c r="Y479" s="44">
        <f>W479-X479</f>
        <v>0</v>
      </c>
      <c r="Z479" s="464">
        <v>0</v>
      </c>
      <c r="AA479" s="44">
        <f>IF(Provozování!$AP$16="Neaktivní",H479,Q479)</f>
        <v>0</v>
      </c>
      <c r="AB479" s="30">
        <f>Z479-AA479</f>
        <v>0</v>
      </c>
      <c r="AC479" s="146"/>
      <c r="AK479" s="146"/>
      <c r="AL479" s="146"/>
      <c r="AM479" s="146"/>
      <c r="AN479" s="146"/>
    </row>
    <row r="480" spans="2:40" x14ac:dyDescent="0.25">
      <c r="B480" s="12" t="s">
        <v>23</v>
      </c>
      <c r="C480" s="12" t="s">
        <v>24</v>
      </c>
      <c r="D480" s="3" t="s">
        <v>10</v>
      </c>
      <c r="E480" s="87">
        <v>0</v>
      </c>
      <c r="F480" s="457">
        <f>IF(YEAR(Postup!$H$25)&gt;$D$460,Provozování!AN29,IF(AND(DAY(Postup!$H$25)=31,MONTH(Postup!$H$25)=12,YEAR(Postup!$H$25)=$D$460),Provozování!AN29,IF(YEAR(Postup!$H$25)=$D$460,Provozování!$BL29,0)))</f>
        <v>0</v>
      </c>
      <c r="G480" s="87">
        <v>0</v>
      </c>
      <c r="H480" s="457">
        <f>IF(YEAR(Postup!$H$25)&gt;$D$460,Provozování!AO29,IF(AND(DAY(Postup!$H$25)=31,MONTH(Postup!$H$25)=12,YEAR(Postup!$H$25)=$D$460),Provozování!AO29,IF(YEAR(Postup!$H$25)=$D$460,Provozování!$BM29,0)))</f>
        <v>0</v>
      </c>
      <c r="K480" s="12" t="s">
        <v>23</v>
      </c>
      <c r="L480" s="12" t="s">
        <v>24</v>
      </c>
      <c r="M480" s="3" t="s">
        <v>10</v>
      </c>
      <c r="N480" s="87">
        <v>0</v>
      </c>
      <c r="O480" s="457">
        <f>IF(Provozování!$AP$16="Neaktivní",0,Provozování!AP29)</f>
        <v>0</v>
      </c>
      <c r="P480" s="87">
        <v>0</v>
      </c>
      <c r="Q480" s="457">
        <f>IF(Provozování!$AP$16="Neaktivní",0,Provozování!AQ29)</f>
        <v>0</v>
      </c>
      <c r="T480" s="12" t="s">
        <v>23</v>
      </c>
      <c r="U480" s="12" t="s">
        <v>24</v>
      </c>
      <c r="V480" s="3" t="s">
        <v>10</v>
      </c>
      <c r="W480" s="463">
        <v>0</v>
      </c>
      <c r="X480" s="44">
        <f>IF(Provozování!$AP$16="Neaktivní",F480,O480)</f>
        <v>0</v>
      </c>
      <c r="Y480" s="44">
        <f>W480-X480</f>
        <v>0</v>
      </c>
      <c r="Z480" s="465">
        <v>0</v>
      </c>
      <c r="AA480" s="44">
        <f>IF(Provozování!$AP$16="Neaktivní",H480,Q480)</f>
        <v>0</v>
      </c>
      <c r="AB480" s="30">
        <f>Z480-AA480</f>
        <v>0</v>
      </c>
      <c r="AC480" s="146"/>
      <c r="AK480" s="146"/>
      <c r="AL480" s="146"/>
      <c r="AM480" s="146"/>
      <c r="AN480" s="146"/>
    </row>
    <row r="481" spans="2:40" x14ac:dyDescent="0.25">
      <c r="B481" s="9" t="s">
        <v>25</v>
      </c>
      <c r="C481" s="10" t="s">
        <v>400</v>
      </c>
      <c r="D481" s="11" t="s">
        <v>10</v>
      </c>
      <c r="E481" s="41">
        <f>SUM(E482:E483)</f>
        <v>0</v>
      </c>
      <c r="F481" s="41">
        <f>SUM(F482:F483)</f>
        <v>0</v>
      </c>
      <c r="G481" s="41">
        <f>SUM(G482:G483)</f>
        <v>0</v>
      </c>
      <c r="H481" s="86">
        <f>SUM(H482:H483)</f>
        <v>0</v>
      </c>
      <c r="K481" s="9" t="s">
        <v>25</v>
      </c>
      <c r="L481" s="10" t="s">
        <v>400</v>
      </c>
      <c r="M481" s="11" t="s">
        <v>10</v>
      </c>
      <c r="N481" s="41">
        <f>SUM(N482:N483)</f>
        <v>0</v>
      </c>
      <c r="O481" s="41">
        <f>SUM(O482:O483)</f>
        <v>0</v>
      </c>
      <c r="P481" s="41">
        <f>SUM(P482:P483)</f>
        <v>0</v>
      </c>
      <c r="Q481" s="86">
        <f>SUM(Q482:Q483)</f>
        <v>0</v>
      </c>
      <c r="T481" s="9" t="s">
        <v>25</v>
      </c>
      <c r="U481" s="10" t="s">
        <v>400</v>
      </c>
      <c r="V481" s="11" t="s">
        <v>10</v>
      </c>
      <c r="W481" s="86">
        <f t="shared" ref="W481:AB481" si="52">SUM(W482:W483)</f>
        <v>0</v>
      </c>
      <c r="X481" s="86">
        <f t="shared" si="52"/>
        <v>0</v>
      </c>
      <c r="Y481" s="86">
        <f t="shared" si="52"/>
        <v>0</v>
      </c>
      <c r="Z481" s="86">
        <f t="shared" si="52"/>
        <v>0</v>
      </c>
      <c r="AA481" s="86">
        <f t="shared" si="52"/>
        <v>0</v>
      </c>
      <c r="AB481" s="86">
        <f t="shared" si="52"/>
        <v>0</v>
      </c>
      <c r="AC481" s="146"/>
      <c r="AD481" s="146"/>
      <c r="AK481" s="146"/>
      <c r="AL481" s="146"/>
      <c r="AM481" s="146"/>
      <c r="AN481" s="146"/>
    </row>
    <row r="482" spans="2:40" x14ac:dyDescent="0.25">
      <c r="B482" s="12" t="s">
        <v>26</v>
      </c>
      <c r="C482" s="13" t="s">
        <v>390</v>
      </c>
      <c r="D482" s="3" t="s">
        <v>10</v>
      </c>
      <c r="E482" s="44">
        <v>0</v>
      </c>
      <c r="F482" s="457">
        <f>IF(YEAR(Postup!$H$25)&gt;$D$460,Provozování!AN31,IF(AND(DAY(Postup!$H$25)=31,MONTH(Postup!$H$25)=12,YEAR(Postup!$H$25)=$D$460),Provozování!AN31,IF(YEAR(Postup!$H$25)=$D$460,Provozování!$BL31,0)))</f>
        <v>0</v>
      </c>
      <c r="G482" s="44">
        <v>0</v>
      </c>
      <c r="H482" s="457">
        <f>IF(YEAR(Postup!$H$25)&gt;$D$460,Provozování!AO31,IF(AND(DAY(Postup!$H$25)=31,MONTH(Postup!$H$25)=12,YEAR(Postup!$H$25)=$D$460),Provozování!AO31,IF(YEAR(Postup!$H$25)=$D$460,Provozování!$BM31,0)))</f>
        <v>0</v>
      </c>
      <c r="K482" s="12" t="s">
        <v>26</v>
      </c>
      <c r="L482" s="13" t="s">
        <v>390</v>
      </c>
      <c r="M482" s="3" t="s">
        <v>10</v>
      </c>
      <c r="N482" s="44">
        <v>0</v>
      </c>
      <c r="O482" s="457">
        <f>IF(Provozování!$AP$16="Neaktivní",0,Provozování!AP31)</f>
        <v>0</v>
      </c>
      <c r="P482" s="44">
        <v>0</v>
      </c>
      <c r="Q482" s="457">
        <f>IF(Provozování!$AP$16="Neaktivní",0,Provozování!AQ31)</f>
        <v>0</v>
      </c>
      <c r="T482" s="12" t="s">
        <v>26</v>
      </c>
      <c r="U482" s="13" t="s">
        <v>390</v>
      </c>
      <c r="V482" s="3" t="s">
        <v>10</v>
      </c>
      <c r="W482" s="462">
        <v>0</v>
      </c>
      <c r="X482" s="44">
        <f>IF(Provozování!$AP$16="Neaktivní",F482,O482)</f>
        <v>0</v>
      </c>
      <c r="Y482" s="44">
        <f>W482-X482</f>
        <v>0</v>
      </c>
      <c r="Z482" s="462">
        <v>0</v>
      </c>
      <c r="AA482" s="44">
        <f>IF(Provozování!$AP$16="Neaktivní",H482,Q482)</f>
        <v>0</v>
      </c>
      <c r="AB482" s="30">
        <f>Z482-AA482</f>
        <v>0</v>
      </c>
      <c r="AC482" s="146"/>
      <c r="AD482" s="146"/>
      <c r="AK482" s="146"/>
      <c r="AL482" s="146"/>
      <c r="AM482" s="146"/>
      <c r="AN482" s="146"/>
    </row>
    <row r="483" spans="2:40" x14ac:dyDescent="0.25">
      <c r="B483" s="12" t="s">
        <v>27</v>
      </c>
      <c r="C483" s="13" t="s">
        <v>401</v>
      </c>
      <c r="D483" s="3" t="s">
        <v>10</v>
      </c>
      <c r="E483" s="44">
        <v>0</v>
      </c>
      <c r="F483" s="457">
        <f>IF(YEAR(Postup!$H$25)&gt;$D$460,Provozování!AN32,IF(AND(DAY(Postup!$H$25)=31,MONTH(Postup!$H$25)=12,YEAR(Postup!$H$25)=$D$460),Provozování!AN32,IF(YEAR(Postup!$H$25)=$D$460,Provozování!$BL32,0)))</f>
        <v>0</v>
      </c>
      <c r="G483" s="44">
        <v>0</v>
      </c>
      <c r="H483" s="457">
        <f>IF(YEAR(Postup!$H$25)&gt;$D$460,Provozování!AO32,IF(AND(DAY(Postup!$H$25)=31,MONTH(Postup!$H$25)=12,YEAR(Postup!$H$25)=$D$460),Provozování!AO32,IF(YEAR(Postup!$H$25)=$D$460,Provozování!$BM32,0)))</f>
        <v>0</v>
      </c>
      <c r="K483" s="12" t="s">
        <v>27</v>
      </c>
      <c r="L483" s="13" t="s">
        <v>401</v>
      </c>
      <c r="M483" s="3" t="s">
        <v>10</v>
      </c>
      <c r="N483" s="44">
        <v>0</v>
      </c>
      <c r="O483" s="457">
        <f>IF(Provozování!$AP$16="Neaktivní",0,Provozování!AP32)</f>
        <v>0</v>
      </c>
      <c r="P483" s="44">
        <v>0</v>
      </c>
      <c r="Q483" s="457">
        <f>IF(Provozování!$AP$16="Neaktivní",0,Provozování!AQ32)</f>
        <v>0</v>
      </c>
      <c r="T483" s="12" t="s">
        <v>27</v>
      </c>
      <c r="U483" s="13" t="s">
        <v>401</v>
      </c>
      <c r="V483" s="3" t="s">
        <v>10</v>
      </c>
      <c r="W483" s="462">
        <v>0</v>
      </c>
      <c r="X483" s="44">
        <f>IF(Provozování!$AP$16="Neaktivní",F483,O483)</f>
        <v>0</v>
      </c>
      <c r="Y483" s="44">
        <f>W483-X483</f>
        <v>0</v>
      </c>
      <c r="Z483" s="462">
        <v>0</v>
      </c>
      <c r="AA483" s="44">
        <f>IF(Provozování!$AP$16="Neaktivní",H483,Q483)</f>
        <v>0</v>
      </c>
      <c r="AB483" s="30">
        <f>Z483-AA483</f>
        <v>0</v>
      </c>
      <c r="AC483" s="146"/>
      <c r="AD483" s="146"/>
      <c r="AK483" s="146"/>
      <c r="AL483" s="146"/>
      <c r="AM483" s="146"/>
      <c r="AN483" s="146"/>
    </row>
    <row r="484" spans="2:40" x14ac:dyDescent="0.25">
      <c r="B484" s="9" t="s">
        <v>28</v>
      </c>
      <c r="C484" s="10" t="s">
        <v>29</v>
      </c>
      <c r="D484" s="11" t="s">
        <v>10</v>
      </c>
      <c r="E484" s="41">
        <f>SUM(E485:E488)</f>
        <v>0</v>
      </c>
      <c r="F484" s="41">
        <f>SUM(F485:F488)</f>
        <v>0</v>
      </c>
      <c r="G484" s="41">
        <f>SUM(G485:G488)</f>
        <v>0</v>
      </c>
      <c r="H484" s="86">
        <f>SUM(H485:H488)</f>
        <v>0</v>
      </c>
      <c r="K484" s="9" t="s">
        <v>28</v>
      </c>
      <c r="L484" s="10" t="s">
        <v>29</v>
      </c>
      <c r="M484" s="11" t="s">
        <v>10</v>
      </c>
      <c r="N484" s="41">
        <f>SUM(N485:N488)</f>
        <v>0</v>
      </c>
      <c r="O484" s="41">
        <f>SUM(O485:O488)</f>
        <v>0</v>
      </c>
      <c r="P484" s="41">
        <f>SUM(P485:P488)</f>
        <v>0</v>
      </c>
      <c r="Q484" s="86">
        <f>SUM(Q485:Q488)</f>
        <v>0</v>
      </c>
      <c r="T484" s="9" t="s">
        <v>28</v>
      </c>
      <c r="U484" s="10" t="s">
        <v>29</v>
      </c>
      <c r="V484" s="11" t="s">
        <v>10</v>
      </c>
      <c r="W484" s="86">
        <f t="shared" ref="W484:AB484" si="53">SUM(W485:W488)</f>
        <v>0</v>
      </c>
      <c r="X484" s="86">
        <f t="shared" si="53"/>
        <v>0</v>
      </c>
      <c r="Y484" s="86">
        <f t="shared" si="53"/>
        <v>0</v>
      </c>
      <c r="Z484" s="86">
        <f t="shared" si="53"/>
        <v>0</v>
      </c>
      <c r="AA484" s="86">
        <f t="shared" si="53"/>
        <v>0</v>
      </c>
      <c r="AB484" s="86">
        <f t="shared" si="53"/>
        <v>0</v>
      </c>
      <c r="AC484" s="146"/>
      <c r="AD484" s="146"/>
      <c r="AK484" s="146"/>
      <c r="AL484" s="146"/>
      <c r="AM484" s="146"/>
      <c r="AN484" s="146"/>
    </row>
    <row r="485" spans="2:40" x14ac:dyDescent="0.25">
      <c r="B485" s="12" t="s">
        <v>30</v>
      </c>
      <c r="C485" s="12" t="s">
        <v>381</v>
      </c>
      <c r="D485" s="3" t="s">
        <v>10</v>
      </c>
      <c r="E485" s="44">
        <v>0</v>
      </c>
      <c r="F485" s="637">
        <f>IF(YEAR(Postup!$H$25)&gt;$D$460,Provozování!AN34,IF(AND(DAY(Postup!$H$25)=31,MONTH(Postup!$H$25)=12,YEAR(Postup!$H$25)=$D$460),Provozování!AN34,IF(YEAR(Postup!$H$25)=$D$460,Provozování!$BL34,0)))</f>
        <v>0</v>
      </c>
      <c r="G485" s="44">
        <v>0</v>
      </c>
      <c r="H485" s="636">
        <f>IF(YEAR(Postup!$H$25)&gt;$D$460,Provozování!AO34,IF(AND(DAY(Postup!$H$25)=31,MONTH(Postup!$H$25)=12,YEAR(Postup!$H$25)=$D$460),Provozování!AO34,IF(YEAR(Postup!$H$25)=$D$460,Provozování!$BM34,0)))</f>
        <v>0</v>
      </c>
      <c r="K485" s="12" t="s">
        <v>30</v>
      </c>
      <c r="L485" s="12" t="s">
        <v>381</v>
      </c>
      <c r="M485" s="3" t="s">
        <v>10</v>
      </c>
      <c r="N485" s="44">
        <v>0</v>
      </c>
      <c r="O485" s="640">
        <f>IF(Provozování!$AP$16="Neaktivní",0,Provozování!AP34)</f>
        <v>0</v>
      </c>
      <c r="P485" s="44">
        <v>0</v>
      </c>
      <c r="Q485" s="772">
        <f>IF(Provozování!$AP$16="Neaktivní",0,Provozování!AQ34)</f>
        <v>0</v>
      </c>
      <c r="T485" s="12" t="s">
        <v>30</v>
      </c>
      <c r="U485" s="12" t="s">
        <v>381</v>
      </c>
      <c r="V485" s="3" t="s">
        <v>10</v>
      </c>
      <c r="W485" s="462">
        <v>0</v>
      </c>
      <c r="X485" s="44">
        <f>IF(Provozování!$AP$16="Neaktivní",F485,O485)</f>
        <v>0</v>
      </c>
      <c r="Y485" s="44">
        <f>W485-X485</f>
        <v>0</v>
      </c>
      <c r="Z485" s="462">
        <v>0</v>
      </c>
      <c r="AA485" s="44">
        <f>IF(Provozování!$AP$16="Neaktivní",H485,Q485)</f>
        <v>0</v>
      </c>
      <c r="AB485" s="30">
        <f>Z485-AA485</f>
        <v>0</v>
      </c>
      <c r="AC485" s="146"/>
      <c r="AD485" s="146"/>
      <c r="AK485" s="146"/>
      <c r="AL485" s="146"/>
      <c r="AM485" s="146"/>
      <c r="AN485" s="146"/>
    </row>
    <row r="486" spans="2:40" x14ac:dyDescent="0.25">
      <c r="B486" s="12" t="s">
        <v>32</v>
      </c>
      <c r="C486" s="12" t="s">
        <v>383</v>
      </c>
      <c r="D486" s="3" t="s">
        <v>10</v>
      </c>
      <c r="E486" s="44">
        <v>0</v>
      </c>
      <c r="F486" s="662">
        <f>IF(YEAR(Postup!$H$25)&gt;$D$460,Provozování!AN35,IF(AND(DAY(Postup!$H$25)=31,MONTH(Postup!$H$25)=12,YEAR(Postup!$H$25)=$D$460),Provozování!AN35,IF(YEAR(Postup!$H$25)=$D$460,Provozování!$BL35,0)))</f>
        <v>0</v>
      </c>
      <c r="G486" s="44">
        <v>0</v>
      </c>
      <c r="H486" s="663">
        <f>IF(YEAR(Postup!$H$25)&gt;$D$460,Provozování!AO35,IF(AND(DAY(Postup!$H$25)=31,MONTH(Postup!$H$25)=12,YEAR(Postup!$H$25)=$D$460),Provozování!AO35,IF(YEAR(Postup!$H$25)=$D$460,Provozování!$BM35,0)))</f>
        <v>0</v>
      </c>
      <c r="K486" s="12" t="s">
        <v>32</v>
      </c>
      <c r="L486" s="12" t="s">
        <v>383</v>
      </c>
      <c r="M486" s="3" t="s">
        <v>10</v>
      </c>
      <c r="N486" s="44">
        <v>0</v>
      </c>
      <c r="O486" s="666">
        <f>IF(Provozování!$AP$16="Neaktivní",0,Provozování!AP35)</f>
        <v>0</v>
      </c>
      <c r="P486" s="44">
        <v>0</v>
      </c>
      <c r="Q486" s="669">
        <f>IF(Provozování!$AP$16="Neaktivní",0,Provozování!AQ35)</f>
        <v>0</v>
      </c>
      <c r="T486" s="12" t="s">
        <v>32</v>
      </c>
      <c r="U486" s="12" t="s">
        <v>383</v>
      </c>
      <c r="V486" s="3" t="s">
        <v>10</v>
      </c>
      <c r="W486" s="640">
        <f>IF(Provozování!$AP$16="Aktivní",O486,F486)</f>
        <v>0</v>
      </c>
      <c r="X486" s="44">
        <f>IF(Provozování!$AP$16="Neaktivní",F486,O486)</f>
        <v>0</v>
      </c>
      <c r="Y486" s="44">
        <f>W486-X486</f>
        <v>0</v>
      </c>
      <c r="Z486" s="640">
        <f>IF(Provozování!$AP$16="Aktivní",Q486,H486)</f>
        <v>0</v>
      </c>
      <c r="AA486" s="44">
        <f>IF(Provozování!$AP$16="Neaktivní",H486,Q486)</f>
        <v>0</v>
      </c>
      <c r="AB486" s="30">
        <f>Z486-AA486</f>
        <v>0</v>
      </c>
      <c r="AC486" s="146"/>
      <c r="AD486" s="146"/>
      <c r="AK486" s="146"/>
      <c r="AL486" s="146"/>
      <c r="AM486" s="146"/>
      <c r="AN486" s="146"/>
    </row>
    <row r="487" spans="2:40" x14ac:dyDescent="0.25">
      <c r="B487" s="12" t="s">
        <v>33</v>
      </c>
      <c r="C487" s="12" t="s">
        <v>382</v>
      </c>
      <c r="D487" s="3" t="s">
        <v>10</v>
      </c>
      <c r="E487" s="44">
        <v>0</v>
      </c>
      <c r="F487" s="637">
        <f>IF(YEAR(Postup!$H$25)&gt;$D$460,Provozování!AN36,IF(AND(DAY(Postup!$H$25)=31,MONTH(Postup!$H$25)=12,YEAR(Postup!$H$25)=$D$460),Provozování!AN36,IF(YEAR(Postup!$H$25)=$D$460,Provozování!$BL36,0)))</f>
        <v>0</v>
      </c>
      <c r="G487" s="44">
        <v>0</v>
      </c>
      <c r="H487" s="636">
        <f>IF(YEAR(Postup!$H$25)&gt;$D$460,Provozování!AO36,IF(AND(DAY(Postup!$H$25)=31,MONTH(Postup!$H$25)=12,YEAR(Postup!$H$25)=$D$460),Provozování!AO36,IF(YEAR(Postup!$H$25)=$D$460,Provozování!$BM36,0)))</f>
        <v>0</v>
      </c>
      <c r="K487" s="12" t="s">
        <v>33</v>
      </c>
      <c r="L487" s="12" t="s">
        <v>382</v>
      </c>
      <c r="M487" s="3" t="s">
        <v>10</v>
      </c>
      <c r="N487" s="44">
        <v>0</v>
      </c>
      <c r="O487" s="640">
        <f>IF(Provozování!$AP$16="Neaktivní",0,Provozování!AP36)</f>
        <v>0</v>
      </c>
      <c r="P487" s="44">
        <v>0</v>
      </c>
      <c r="Q487" s="772">
        <f>IF(Provozování!$AP$16="Neaktivní",0,Provozování!AQ36)</f>
        <v>0</v>
      </c>
      <c r="T487" s="12" t="s">
        <v>33</v>
      </c>
      <c r="U487" s="12" t="s">
        <v>382</v>
      </c>
      <c r="V487" s="3" t="s">
        <v>10</v>
      </c>
      <c r="W487" s="462">
        <v>0</v>
      </c>
      <c r="X487" s="44">
        <f>IF(Provozování!$AP$16="Neaktivní",F487,O487)</f>
        <v>0</v>
      </c>
      <c r="Y487" s="44">
        <f>W487-X487</f>
        <v>0</v>
      </c>
      <c r="Z487" s="462">
        <v>0</v>
      </c>
      <c r="AA487" s="44">
        <f>IF(Provozování!$AP$16="Neaktivní",H487,Q487)</f>
        <v>0</v>
      </c>
      <c r="AB487" s="30">
        <f>Z487-AA487</f>
        <v>0</v>
      </c>
      <c r="AC487" s="146"/>
      <c r="AD487" s="146"/>
      <c r="AK487" s="146"/>
      <c r="AL487" s="146"/>
      <c r="AM487" s="146"/>
      <c r="AN487" s="146"/>
    </row>
    <row r="488" spans="2:40" x14ac:dyDescent="0.25">
      <c r="B488" s="12" t="s">
        <v>34</v>
      </c>
      <c r="C488" s="497" t="s">
        <v>384</v>
      </c>
      <c r="D488" s="3" t="s">
        <v>10</v>
      </c>
      <c r="E488" s="44">
        <v>0</v>
      </c>
      <c r="F488" s="666">
        <f>IF(YEAR(Postup!$H$25)&gt;$D$460,Provozování!AN37,IF(AND(DAY(Postup!$H$25)=31,MONTH(Postup!$H$25)=12,YEAR(Postup!$H$25)=$D$460),Provozování!AN37,IF(YEAR(Postup!$H$25)=$D$460,Provozování!$BL37,0)))</f>
        <v>0</v>
      </c>
      <c r="G488" s="44">
        <v>0</v>
      </c>
      <c r="H488" s="667">
        <f>IF(YEAR(Postup!$H$25)&gt;$D$460,Provozování!AO37,IF(AND(DAY(Postup!$H$25)=31,MONTH(Postup!$H$25)=12,YEAR(Postup!$H$25)=$D$460),Provozování!AO37,IF(YEAR(Postup!$H$25)=$D$460,Provozování!$BM37,0)))</f>
        <v>0</v>
      </c>
      <c r="K488" s="12" t="s">
        <v>34</v>
      </c>
      <c r="L488" s="497" t="s">
        <v>384</v>
      </c>
      <c r="M488" s="3" t="s">
        <v>10</v>
      </c>
      <c r="N488" s="44">
        <v>0</v>
      </c>
      <c r="O488" s="666">
        <f>IF(Provozování!$AP$16="Neaktivní",0,Provozování!AP37)</f>
        <v>0</v>
      </c>
      <c r="P488" s="44">
        <v>0</v>
      </c>
      <c r="Q488" s="667">
        <f>IF(Provozování!$AP$16="Neaktivní",0,Provozování!AQ37)</f>
        <v>0</v>
      </c>
      <c r="T488" s="12" t="s">
        <v>34</v>
      </c>
      <c r="U488" s="497" t="s">
        <v>384</v>
      </c>
      <c r="V488" s="3" t="s">
        <v>10</v>
      </c>
      <c r="W488" s="637">
        <f>IF(Provozování!$AP$16="Aktivní",O488,F488)</f>
        <v>0</v>
      </c>
      <c r="X488" s="337">
        <f>IF(Provozování!$AP$16="Neaktivní",F488,O488)</f>
        <v>0</v>
      </c>
      <c r="Y488" s="337">
        <f>W488-X488</f>
        <v>0</v>
      </c>
      <c r="Z488" s="637">
        <f>IF(Provozování!$AP$16="Aktivní",Q488,H488)</f>
        <v>0</v>
      </c>
      <c r="AA488" s="337">
        <f>IF(Provozování!$AP$16="Neaktivní",H488,Q488)</f>
        <v>0</v>
      </c>
      <c r="AB488" s="334">
        <f>Z488-AA488</f>
        <v>0</v>
      </c>
      <c r="AC488" s="146"/>
      <c r="AD488" s="146"/>
      <c r="AE488" s="1073" t="s">
        <v>291</v>
      </c>
      <c r="AF488" s="1074"/>
      <c r="AG488" s="339">
        <f>Y470</f>
        <v>2030</v>
      </c>
      <c r="AH488" s="339">
        <f>AG488</f>
        <v>2030</v>
      </c>
      <c r="AK488" s="146"/>
      <c r="AL488" s="146"/>
      <c r="AM488" s="146"/>
      <c r="AN488" s="146"/>
    </row>
    <row r="489" spans="2:40" x14ac:dyDescent="0.25">
      <c r="B489" s="9" t="s">
        <v>35</v>
      </c>
      <c r="C489" s="10" t="s">
        <v>387</v>
      </c>
      <c r="D489" s="11" t="s">
        <v>10</v>
      </c>
      <c r="E489" s="41">
        <f>SUM(E490:E492)</f>
        <v>0</v>
      </c>
      <c r="F489" s="41">
        <f>SUM(F490:F492)</f>
        <v>0</v>
      </c>
      <c r="G489" s="41">
        <f>SUM(G490:G492)</f>
        <v>0</v>
      </c>
      <c r="H489" s="86">
        <f>SUM(H490:H492)</f>
        <v>0</v>
      </c>
      <c r="K489" s="9" t="s">
        <v>35</v>
      </c>
      <c r="L489" s="10" t="s">
        <v>387</v>
      </c>
      <c r="M489" s="11" t="s">
        <v>10</v>
      </c>
      <c r="N489" s="41">
        <f>SUM(N490:N492)</f>
        <v>0</v>
      </c>
      <c r="O489" s="41">
        <f>SUM(O490:O492)</f>
        <v>0</v>
      </c>
      <c r="P489" s="41">
        <f>SUM(P490:P492)</f>
        <v>0</v>
      </c>
      <c r="Q489" s="86">
        <f>SUM(Q490:Q492)</f>
        <v>0</v>
      </c>
      <c r="T489" s="9" t="s">
        <v>35</v>
      </c>
      <c r="U489" s="10" t="s">
        <v>387</v>
      </c>
      <c r="V489" s="11" t="s">
        <v>10</v>
      </c>
      <c r="W489" s="86">
        <f t="shared" ref="W489:AB489" si="54">SUM(W490:W492)</f>
        <v>0</v>
      </c>
      <c r="X489" s="86">
        <f t="shared" si="54"/>
        <v>0</v>
      </c>
      <c r="Y489" s="86">
        <f t="shared" si="54"/>
        <v>0</v>
      </c>
      <c r="Z489" s="86">
        <f t="shared" si="54"/>
        <v>0</v>
      </c>
      <c r="AA489" s="86">
        <f t="shared" si="54"/>
        <v>0</v>
      </c>
      <c r="AB489" s="86">
        <f t="shared" si="54"/>
        <v>0</v>
      </c>
      <c r="AC489" s="146"/>
      <c r="AD489" s="146"/>
      <c r="AE489" s="1075"/>
      <c r="AF489" s="1076"/>
      <c r="AG489" s="1072" t="s">
        <v>238</v>
      </c>
      <c r="AH489" s="1072" t="s">
        <v>239</v>
      </c>
      <c r="AK489" s="146"/>
      <c r="AL489" s="146"/>
      <c r="AM489" s="146"/>
      <c r="AN489" s="146"/>
    </row>
    <row r="490" spans="2:40" x14ac:dyDescent="0.25">
      <c r="B490" s="12" t="s">
        <v>37</v>
      </c>
      <c r="C490" s="13" t="s">
        <v>38</v>
      </c>
      <c r="D490" s="3" t="s">
        <v>10</v>
      </c>
      <c r="E490" s="44">
        <v>0</v>
      </c>
      <c r="F490" s="337">
        <v>0</v>
      </c>
      <c r="G490" s="44">
        <v>0</v>
      </c>
      <c r="H490" s="30">
        <f>IF(YEAR(Postup!$H$25)&gt;$D$460,Provozování!AO39,IF(AND(DAY(Postup!$H$25)=31,MONTH(Postup!$H$25)=12,YEAR(Postup!$H$25)=$D$460),Provozování!AO39,IF(YEAR(Postup!$H$25)=$D$460,Provozování!$BM39,0)))</f>
        <v>0</v>
      </c>
      <c r="K490" s="12" t="s">
        <v>37</v>
      </c>
      <c r="L490" s="13" t="s">
        <v>38</v>
      </c>
      <c r="M490" s="3" t="s">
        <v>10</v>
      </c>
      <c r="N490" s="44">
        <v>0</v>
      </c>
      <c r="O490" s="337">
        <v>0</v>
      </c>
      <c r="P490" s="44">
        <v>0</v>
      </c>
      <c r="Q490" s="53">
        <f>IF(Provozování!$AP$16="Neaktivní",0,Provozování!AQ39)</f>
        <v>0</v>
      </c>
      <c r="T490" s="12" t="s">
        <v>37</v>
      </c>
      <c r="U490" s="13" t="s">
        <v>38</v>
      </c>
      <c r="V490" s="3" t="s">
        <v>10</v>
      </c>
      <c r="W490" s="337">
        <v>0</v>
      </c>
      <c r="X490" s="337">
        <v>0</v>
      </c>
      <c r="Y490" s="337">
        <v>0</v>
      </c>
      <c r="Z490" s="462">
        <v>0</v>
      </c>
      <c r="AA490" s="44">
        <f>IF(Provozování!$AP$16="Neaktivní",H490,Q490)</f>
        <v>0</v>
      </c>
      <c r="AB490" s="30">
        <f>Z490-AA490</f>
        <v>0</v>
      </c>
      <c r="AC490" s="146"/>
      <c r="AD490" s="146"/>
      <c r="AE490" s="1077"/>
      <c r="AF490" s="1078"/>
      <c r="AG490" s="1000"/>
      <c r="AH490" s="1000"/>
      <c r="AK490" s="146"/>
      <c r="AL490" s="146"/>
      <c r="AM490" s="146"/>
      <c r="AN490" s="146"/>
    </row>
    <row r="491" spans="2:40" x14ac:dyDescent="0.25">
      <c r="B491" s="12" t="s">
        <v>39</v>
      </c>
      <c r="C491" s="12" t="s">
        <v>40</v>
      </c>
      <c r="D491" s="3" t="s">
        <v>10</v>
      </c>
      <c r="E491" s="44">
        <v>0</v>
      </c>
      <c r="F491" s="457">
        <f>IF(YEAR(Postup!$H$25)&gt;$D$460,Provozování!AN40,IF(AND(DAY(Postup!$H$25)=31,MONTH(Postup!$H$25)=12,YEAR(Postup!$H$25)=$D$460),Provozování!AN40,IF(YEAR(Postup!$H$25)=$D$460,Provozování!$BL40,0)))</f>
        <v>0</v>
      </c>
      <c r="G491" s="44">
        <v>0</v>
      </c>
      <c r="H491" s="457">
        <f>IF(YEAR(Postup!$H$25)&gt;$D$460,Provozování!AO40,IF(AND(DAY(Postup!$H$25)=31,MONTH(Postup!$H$25)=12,YEAR(Postup!$H$25)=$D$460),Provozování!AO40,IF(YEAR(Postup!$H$25)=$D$460,Provozování!$BM40,0)))</f>
        <v>0</v>
      </c>
      <c r="K491" s="12" t="s">
        <v>39</v>
      </c>
      <c r="L491" s="12" t="s">
        <v>40</v>
      </c>
      <c r="M491" s="3" t="s">
        <v>10</v>
      </c>
      <c r="N491" s="44">
        <v>0</v>
      </c>
      <c r="O491" s="457">
        <f>IF(Provozování!$AP$16="Neaktivní",0,Provozování!AP40)</f>
        <v>0</v>
      </c>
      <c r="P491" s="44">
        <v>0</v>
      </c>
      <c r="Q491" s="457">
        <f>IF(Provozování!$AP$16="Neaktivní",0,Provozování!AQ40)</f>
        <v>0</v>
      </c>
      <c r="T491" s="12" t="s">
        <v>39</v>
      </c>
      <c r="U491" s="12" t="s">
        <v>40</v>
      </c>
      <c r="V491" s="3" t="s">
        <v>10</v>
      </c>
      <c r="W491" s="462">
        <v>0</v>
      </c>
      <c r="X491" s="44">
        <f>IF(Provozování!$AP$16="Neaktivní",F491,O491)</f>
        <v>0</v>
      </c>
      <c r="Y491" s="44">
        <f>W491-X491</f>
        <v>0</v>
      </c>
      <c r="Z491" s="462">
        <v>0</v>
      </c>
      <c r="AA491" s="44">
        <f>IF(Provozování!$AP$16="Neaktivní",H491,Q491)</f>
        <v>0</v>
      </c>
      <c r="AB491" s="30">
        <f>Z491-AA491</f>
        <v>0</v>
      </c>
      <c r="AC491" s="146"/>
      <c r="AD491" s="146"/>
      <c r="AE491" s="12" t="s">
        <v>326</v>
      </c>
      <c r="AF491" s="12" t="s">
        <v>329</v>
      </c>
      <c r="AG491" s="423">
        <f>Z526</f>
        <v>0</v>
      </c>
      <c r="AH491" s="423">
        <f>AB526</f>
        <v>0</v>
      </c>
      <c r="AK491" s="146"/>
      <c r="AL491" s="146"/>
      <c r="AM491" s="146"/>
      <c r="AN491" s="146"/>
    </row>
    <row r="492" spans="2:40" x14ac:dyDescent="0.25">
      <c r="B492" s="12" t="s">
        <v>41</v>
      </c>
      <c r="C492" s="13" t="s">
        <v>42</v>
      </c>
      <c r="D492" s="3" t="s">
        <v>10</v>
      </c>
      <c r="E492" s="44">
        <v>0</v>
      </c>
      <c r="F492" s="457">
        <f>IF(YEAR(Postup!$H$25)&gt;$D$460,Provozování!AN41,IF(AND(DAY(Postup!$H$25)=31,MONTH(Postup!$H$25)=12,YEAR(Postup!$H$25)=$D$460),Provozování!AN41,IF(YEAR(Postup!$H$25)=$D$460,Provozování!$BL41,0)))</f>
        <v>0</v>
      </c>
      <c r="G492" s="44">
        <v>0</v>
      </c>
      <c r="H492" s="457">
        <f>IF(YEAR(Postup!$H$25)&gt;$D$460,Provozování!AO41,IF(AND(DAY(Postup!$H$25)=31,MONTH(Postup!$H$25)=12,YEAR(Postup!$H$25)=$D$460),Provozování!AO41,IF(YEAR(Postup!$H$25)=$D$460,Provozování!$BM41,0)))</f>
        <v>0</v>
      </c>
      <c r="K492" s="12" t="s">
        <v>41</v>
      </c>
      <c r="L492" s="13" t="s">
        <v>42</v>
      </c>
      <c r="M492" s="3" t="s">
        <v>10</v>
      </c>
      <c r="N492" s="44">
        <v>0</v>
      </c>
      <c r="O492" s="457">
        <f>IF(Provozování!$AP$16="Neaktivní",0,Provozování!AP41)</f>
        <v>0</v>
      </c>
      <c r="P492" s="44">
        <v>0</v>
      </c>
      <c r="Q492" s="457">
        <f>IF(Provozování!$AP$16="Neaktivní",0,Provozování!AQ41)</f>
        <v>0</v>
      </c>
      <c r="T492" s="12" t="s">
        <v>41</v>
      </c>
      <c r="U492" s="13" t="s">
        <v>42</v>
      </c>
      <c r="V492" s="3" t="s">
        <v>10</v>
      </c>
      <c r="W492" s="462">
        <v>0</v>
      </c>
      <c r="X492" s="44">
        <f>IF(Provozování!$AP$16="Neaktivní",F492,O492)</f>
        <v>0</v>
      </c>
      <c r="Y492" s="44">
        <f>W492-X492</f>
        <v>0</v>
      </c>
      <c r="Z492" s="462">
        <v>0</v>
      </c>
      <c r="AA492" s="44">
        <f>IF(Provozování!$AP$16="Neaktivní",H492,Q492)</f>
        <v>0</v>
      </c>
      <c r="AB492" s="30">
        <f>Z492-AA492</f>
        <v>0</v>
      </c>
      <c r="AC492" s="146"/>
      <c r="AD492" s="146"/>
      <c r="AE492" s="12" t="s">
        <v>327</v>
      </c>
      <c r="AF492" s="13" t="s">
        <v>331</v>
      </c>
      <c r="AG492" s="270">
        <f>Y525</f>
        <v>0</v>
      </c>
      <c r="AH492" s="270">
        <f>AA525</f>
        <v>0</v>
      </c>
      <c r="AK492" s="146"/>
      <c r="AL492" s="146"/>
      <c r="AM492" s="146"/>
      <c r="AN492" s="146"/>
    </row>
    <row r="493" spans="2:40" x14ac:dyDescent="0.25">
      <c r="B493" s="9" t="s">
        <v>43</v>
      </c>
      <c r="C493" s="10" t="s">
        <v>44</v>
      </c>
      <c r="D493" s="11" t="s">
        <v>10</v>
      </c>
      <c r="E493" s="44">
        <v>0</v>
      </c>
      <c r="F493" s="456">
        <f>IF(YEAR(Postup!$H$25)&gt;$D$460,Provozování!AN42,IF(AND(DAY(Postup!$H$25)=31,MONTH(Postup!$H$25)=12,YEAR(Postup!$H$25)=$D$460),Provozování!AN42,IF(YEAR(Postup!$H$25)=$D$460,Provozování!$BL42,0)))</f>
        <v>0</v>
      </c>
      <c r="G493" s="44">
        <v>0</v>
      </c>
      <c r="H493" s="457">
        <f>IF(YEAR(Postup!$H$25)&gt;$D$460,Provozování!AO42,IF(AND(DAY(Postup!$H$25)=31,MONTH(Postup!$H$25)=12,YEAR(Postup!$H$25)=$D$460),Provozování!AO42,IF(YEAR(Postup!$H$25)=$D$460,Provozování!$BM42,0)))</f>
        <v>0</v>
      </c>
      <c r="K493" s="9" t="s">
        <v>43</v>
      </c>
      <c r="L493" s="10" t="s">
        <v>44</v>
      </c>
      <c r="M493" s="11" t="s">
        <v>10</v>
      </c>
      <c r="N493" s="44">
        <v>0</v>
      </c>
      <c r="O493" s="456">
        <f>IF(Provozování!$AP$16="Neaktivní",0,Provozování!AP42)</f>
        <v>0</v>
      </c>
      <c r="P493" s="44">
        <v>0</v>
      </c>
      <c r="Q493" s="461">
        <f>IF(Provozování!$AP$16="Neaktivní",0,Provozování!AQ42)</f>
        <v>0</v>
      </c>
      <c r="T493" s="9" t="s">
        <v>43</v>
      </c>
      <c r="U493" s="10" t="s">
        <v>44</v>
      </c>
      <c r="V493" s="11" t="s">
        <v>10</v>
      </c>
      <c r="W493" s="462">
        <v>0</v>
      </c>
      <c r="X493" s="44">
        <f>IF(Provozování!$AP$16="Neaktivní",F493,O493)</f>
        <v>0</v>
      </c>
      <c r="Y493" s="44">
        <f>W493-X493</f>
        <v>0</v>
      </c>
      <c r="Z493" s="462">
        <v>0</v>
      </c>
      <c r="AA493" s="44">
        <f>IF(Provozování!$AP$16="Neaktivní",H493,Q493)</f>
        <v>0</v>
      </c>
      <c r="AB493" s="30">
        <f>Z493-AA493</f>
        <v>0</v>
      </c>
      <c r="AC493" s="146"/>
      <c r="AD493" s="146"/>
      <c r="AE493" s="12" t="s">
        <v>328</v>
      </c>
      <c r="AF493" s="13" t="s">
        <v>330</v>
      </c>
      <c r="AG493" s="270">
        <f>Z525</f>
        <v>0</v>
      </c>
      <c r="AH493" s="270">
        <f>AB525</f>
        <v>0</v>
      </c>
      <c r="AK493" s="146"/>
      <c r="AL493" s="146"/>
      <c r="AM493" s="146"/>
      <c r="AN493" s="146"/>
    </row>
    <row r="494" spans="2:40" x14ac:dyDescent="0.25">
      <c r="B494" s="9" t="s">
        <v>45</v>
      </c>
      <c r="C494" s="10" t="s">
        <v>388</v>
      </c>
      <c r="D494" s="11" t="s">
        <v>10</v>
      </c>
      <c r="E494" s="44">
        <v>0</v>
      </c>
      <c r="F494" s="456">
        <f>IF(YEAR(Postup!$H$25)&gt;$D$460,Provozování!AN43,IF(AND(DAY(Postup!$H$25)=31,MONTH(Postup!$H$25)=12,YEAR(Postup!$H$25)=$D$460),Provozování!AN43,IF(YEAR(Postup!$H$25)=$D$460,Provozování!$BL43,0)))</f>
        <v>0</v>
      </c>
      <c r="G494" s="44">
        <v>0</v>
      </c>
      <c r="H494" s="457">
        <f>IF(YEAR(Postup!$H$25)&gt;$D$460,Provozování!AO43,IF(AND(DAY(Postup!$H$25)=31,MONTH(Postup!$H$25)=12,YEAR(Postup!$H$25)=$D$460),Provozování!AO43,IF(YEAR(Postup!$H$25)=$D$460,Provozování!$BM43,0)))</f>
        <v>0</v>
      </c>
      <c r="K494" s="9" t="s">
        <v>45</v>
      </c>
      <c r="L494" s="10" t="s">
        <v>388</v>
      </c>
      <c r="M494" s="11" t="s">
        <v>10</v>
      </c>
      <c r="N494" s="44">
        <v>0</v>
      </c>
      <c r="O494" s="456">
        <f>IF(Provozování!$AP$16="Neaktivní",0,Provozování!AP43)</f>
        <v>0</v>
      </c>
      <c r="P494" s="44">
        <v>0</v>
      </c>
      <c r="Q494" s="461">
        <f>IF(Provozování!$AP$16="Neaktivní",0,Provozování!AQ43)</f>
        <v>0</v>
      </c>
      <c r="T494" s="9" t="s">
        <v>45</v>
      </c>
      <c r="U494" s="10" t="s">
        <v>388</v>
      </c>
      <c r="V494" s="11" t="s">
        <v>10</v>
      </c>
      <c r="W494" s="462">
        <v>0</v>
      </c>
      <c r="X494" s="44">
        <f>IF(Provozování!$AP$16="Neaktivní",F494,O494)</f>
        <v>0</v>
      </c>
      <c r="Y494" s="44">
        <f>ABS(W494)-ABS(X494)</f>
        <v>0</v>
      </c>
      <c r="Z494" s="462">
        <v>0</v>
      </c>
      <c r="AA494" s="44">
        <f>IF(Provozování!$AP$16="Neaktivní",H494,Q494)</f>
        <v>0</v>
      </c>
      <c r="AB494" s="30">
        <f>ABS(Z494)-ABS(AA494)</f>
        <v>0</v>
      </c>
      <c r="AC494" s="146"/>
      <c r="AD494" s="146"/>
      <c r="AE494" s="12" t="s">
        <v>332</v>
      </c>
      <c r="AF494" s="12" t="s">
        <v>340</v>
      </c>
      <c r="AG494" s="270">
        <f>X498-(X486+X488)</f>
        <v>0</v>
      </c>
      <c r="AH494" s="270">
        <f>AA498-(AA486+AA488)</f>
        <v>0</v>
      </c>
      <c r="AK494" s="146"/>
      <c r="AL494" s="146"/>
      <c r="AM494" s="146"/>
      <c r="AN494" s="146"/>
    </row>
    <row r="495" spans="2:40" x14ac:dyDescent="0.25">
      <c r="B495" s="9" t="s">
        <v>46</v>
      </c>
      <c r="C495" s="10" t="s">
        <v>47</v>
      </c>
      <c r="D495" s="11" t="s">
        <v>10</v>
      </c>
      <c r="E495" s="44">
        <v>0</v>
      </c>
      <c r="F495" s="457">
        <f>IF(YEAR(Postup!$H$25)&gt;$D$460,Provozování!AN44,IF(AND(DAY(Postup!$H$25)=31,MONTH(Postup!$H$25)=12,YEAR(Postup!$H$25)=$D$460),Provozování!AN44,IF(YEAR(Postup!$H$25)=$D$460,Provozování!$BL44,0)))</f>
        <v>0</v>
      </c>
      <c r="G495" s="44">
        <v>0</v>
      </c>
      <c r="H495" s="457">
        <f>IF(YEAR(Postup!$H$25)&gt;$D$460,Provozování!AO44,IF(AND(DAY(Postup!$H$25)=31,MONTH(Postup!$H$25)=12,YEAR(Postup!$H$25)=$D$460),Provozování!AO44,IF(YEAR(Postup!$H$25)=$D$460,Provozování!$BM44,0)))</f>
        <v>0</v>
      </c>
      <c r="K495" s="9" t="s">
        <v>46</v>
      </c>
      <c r="L495" s="10" t="s">
        <v>47</v>
      </c>
      <c r="M495" s="11" t="s">
        <v>10</v>
      </c>
      <c r="N495" s="44">
        <v>0</v>
      </c>
      <c r="O495" s="457">
        <f>IF(Provozování!$AP$16="Neaktivní",0,Provozování!AP44)</f>
        <v>0</v>
      </c>
      <c r="P495" s="44">
        <v>0</v>
      </c>
      <c r="Q495" s="457">
        <f>IF(Provozování!$AP$16="Neaktivní",0,Provozování!AQ44)</f>
        <v>0</v>
      </c>
      <c r="T495" s="9" t="s">
        <v>46</v>
      </c>
      <c r="U495" s="10" t="s">
        <v>47</v>
      </c>
      <c r="V495" s="11" t="s">
        <v>10</v>
      </c>
      <c r="W495" s="462">
        <v>0</v>
      </c>
      <c r="X495" s="44">
        <f>IF(Provozování!$AP$16="Neaktivní",F495,O495)</f>
        <v>0</v>
      </c>
      <c r="Y495" s="44">
        <f>W495-X495</f>
        <v>0</v>
      </c>
      <c r="Z495" s="462">
        <v>0</v>
      </c>
      <c r="AA495" s="44">
        <f>IF(Provozování!$AP$16="Neaktivní",H495,Q495)</f>
        <v>0</v>
      </c>
      <c r="AB495" s="30">
        <f>Z495-AA495</f>
        <v>0</v>
      </c>
      <c r="AC495" s="146"/>
      <c r="AD495" s="146"/>
      <c r="AE495" s="12" t="s">
        <v>333</v>
      </c>
      <c r="AF495" s="12" t="s">
        <v>339</v>
      </c>
      <c r="AG495" s="270">
        <f>W498-(W486+W488)</f>
        <v>0</v>
      </c>
      <c r="AH495" s="270">
        <f>Z498-(Z486+Z488)</f>
        <v>0</v>
      </c>
      <c r="AK495" s="146"/>
      <c r="AL495" s="146"/>
      <c r="AM495" s="146"/>
      <c r="AN495" s="146"/>
    </row>
    <row r="496" spans="2:40" x14ac:dyDescent="0.25">
      <c r="B496" s="9" t="s">
        <v>48</v>
      </c>
      <c r="C496" s="10" t="s">
        <v>49</v>
      </c>
      <c r="D496" s="11" t="s">
        <v>10</v>
      </c>
      <c r="E496" s="44">
        <v>0</v>
      </c>
      <c r="F496" s="457">
        <f>IF(YEAR(Postup!$H$25)&gt;$D$460,Provozování!AN45,IF(AND(DAY(Postup!$H$25)=31,MONTH(Postup!$H$25)=12,YEAR(Postup!$H$25)=$D$460),Provozování!AN45,IF(YEAR(Postup!$H$25)=$D$460,Provozování!$BL45,0)))</f>
        <v>0</v>
      </c>
      <c r="G496" s="44">
        <v>0</v>
      </c>
      <c r="H496" s="457">
        <f>IF(YEAR(Postup!$H$25)&gt;$D$460,Provozování!AO45,IF(AND(DAY(Postup!$H$25)=31,MONTH(Postup!$H$25)=12,YEAR(Postup!$H$25)=$D$460),Provozování!AO45,IF(YEAR(Postup!$H$25)=$D$460,Provozování!$BM45,0)))</f>
        <v>0</v>
      </c>
      <c r="K496" s="9" t="s">
        <v>48</v>
      </c>
      <c r="L496" s="10" t="s">
        <v>49</v>
      </c>
      <c r="M496" s="11" t="s">
        <v>10</v>
      </c>
      <c r="N496" s="44">
        <v>0</v>
      </c>
      <c r="O496" s="457">
        <f>IF(Provozování!$AP$16="Neaktivní",0,Provozování!AP45)</f>
        <v>0</v>
      </c>
      <c r="P496" s="44">
        <v>0</v>
      </c>
      <c r="Q496" s="457">
        <f>IF(Provozování!$AP$16="Neaktivní",0,Provozování!AQ45)</f>
        <v>0</v>
      </c>
      <c r="T496" s="9" t="s">
        <v>48</v>
      </c>
      <c r="U496" s="10" t="s">
        <v>49</v>
      </c>
      <c r="V496" s="11" t="s">
        <v>10</v>
      </c>
      <c r="W496" s="462">
        <v>0</v>
      </c>
      <c r="X496" s="44">
        <f>IF(Provozování!$AP$16="Neaktivní",F496,O496)</f>
        <v>0</v>
      </c>
      <c r="Y496" s="44">
        <f>W496-X496</f>
        <v>0</v>
      </c>
      <c r="Z496" s="462">
        <v>0</v>
      </c>
      <c r="AA496" s="44">
        <f>IF(Provozování!$AP$16="Neaktivní",H496,Q496)</f>
        <v>0</v>
      </c>
      <c r="AB496" s="30">
        <f>Z496-AA496</f>
        <v>0</v>
      </c>
      <c r="AC496" s="146"/>
      <c r="AD496" s="146"/>
      <c r="AE496" s="12" t="s">
        <v>345</v>
      </c>
      <c r="AF496" s="12" t="s">
        <v>346</v>
      </c>
      <c r="AG496" s="270">
        <f>Provozování!AN$102</f>
        <v>0</v>
      </c>
      <c r="AH496" s="270">
        <f>Provozování!AO$102</f>
        <v>0</v>
      </c>
      <c r="AK496" s="146"/>
      <c r="AL496" s="146"/>
      <c r="AM496" s="146"/>
      <c r="AN496" s="146"/>
    </row>
    <row r="497" spans="2:40" x14ac:dyDescent="0.25">
      <c r="B497" s="12" t="s">
        <v>386</v>
      </c>
      <c r="C497" s="12" t="s">
        <v>385</v>
      </c>
      <c r="D497" s="533" t="s">
        <v>10</v>
      </c>
      <c r="E497" s="44"/>
      <c r="F497" s="456">
        <f>Provozování!AN46</f>
        <v>0.02</v>
      </c>
      <c r="G497" s="44"/>
      <c r="H497" s="457">
        <f>Provozování!AO46</f>
        <v>0.02</v>
      </c>
      <c r="K497" s="12" t="s">
        <v>386</v>
      </c>
      <c r="L497" s="12" t="s">
        <v>385</v>
      </c>
      <c r="M497" s="3" t="s">
        <v>10</v>
      </c>
      <c r="N497" s="44"/>
      <c r="O497" s="456">
        <f>IF(Provozování!$AP$16="Neaktivní",0,Provozování!AP46)</f>
        <v>0</v>
      </c>
      <c r="P497" s="44"/>
      <c r="Q497" s="457">
        <f>IF(Provozování!$AP$16="Neaktivní",0,Provozování!AQ46)</f>
        <v>0</v>
      </c>
      <c r="T497" s="12" t="s">
        <v>386</v>
      </c>
      <c r="U497" s="12" t="s">
        <v>385</v>
      </c>
      <c r="V497" s="3" t="s">
        <v>10</v>
      </c>
      <c r="W497" s="462">
        <v>0</v>
      </c>
      <c r="X497" s="44"/>
      <c r="Y497" s="44"/>
      <c r="Z497" s="462">
        <v>0</v>
      </c>
      <c r="AA497" s="44"/>
      <c r="AB497" s="30"/>
      <c r="AC497" s="146"/>
      <c r="AD497" s="146"/>
      <c r="AE497" s="435" t="s">
        <v>349</v>
      </c>
      <c r="AF497" s="436"/>
      <c r="AG497" s="1066">
        <f>(AG491*AG492-AG491*AG493)+(AG494-AG495)-AG496</f>
        <v>0</v>
      </c>
      <c r="AH497" s="1066">
        <f>(AH491*AH492-AH491*AH493)+(AH494-AH495)-AH496</f>
        <v>0</v>
      </c>
      <c r="AK497" s="146"/>
      <c r="AL497" s="146"/>
      <c r="AM497" s="146"/>
      <c r="AN497" s="146"/>
    </row>
    <row r="498" spans="2:40" x14ac:dyDescent="0.25">
      <c r="B498" s="9" t="s">
        <v>50</v>
      </c>
      <c r="C498" s="10" t="s">
        <v>391</v>
      </c>
      <c r="D498" s="11" t="s">
        <v>10</v>
      </c>
      <c r="E498" s="41">
        <f>E473+E478+E481+E484+E489+E493+E494+E495+E496</f>
        <v>0</v>
      </c>
      <c r="F498" s="41">
        <f>F473+F478+F481+F484+F489+F493+F494+F495+F496</f>
        <v>0</v>
      </c>
      <c r="G498" s="41">
        <f>G473+G478+G481+G484+G489+G493+G494+G495+G496</f>
        <v>0</v>
      </c>
      <c r="H498" s="86">
        <f>H473+H478+H481+H484+H489+H493+H494+H495+H496</f>
        <v>0</v>
      </c>
      <c r="K498" s="9" t="s">
        <v>50</v>
      </c>
      <c r="L498" s="10" t="s">
        <v>391</v>
      </c>
      <c r="M498" s="11" t="s">
        <v>10</v>
      </c>
      <c r="N498" s="41">
        <f>N473+N478+N481+N484+N489+N493+N494+N495+N496</f>
        <v>0</v>
      </c>
      <c r="O498" s="41">
        <f>O473+O478+O481+O484+O489+O493+O494+O495+O496</f>
        <v>0</v>
      </c>
      <c r="P498" s="41">
        <f>P473+P478+P481+P484+P489+P493+P494+P495+P496</f>
        <v>0</v>
      </c>
      <c r="Q498" s="86">
        <f>Q473+Q478+Q481+Q484+Q489+Q493+Q494+Q495+Q496</f>
        <v>0</v>
      </c>
      <c r="T498" s="9" t="s">
        <v>50</v>
      </c>
      <c r="U498" s="10" t="s">
        <v>391</v>
      </c>
      <c r="V498" s="11" t="s">
        <v>10</v>
      </c>
      <c r="W498" s="41">
        <f t="shared" ref="W498:AB498" si="55">W473+W478+W481+W484+W489+W493+W494+W495+W496</f>
        <v>0</v>
      </c>
      <c r="X498" s="41">
        <f t="shared" si="55"/>
        <v>0</v>
      </c>
      <c r="Y498" s="41">
        <f t="shared" si="55"/>
        <v>0</v>
      </c>
      <c r="Z498" s="41">
        <f t="shared" si="55"/>
        <v>0</v>
      </c>
      <c r="AA498" s="41">
        <f t="shared" si="55"/>
        <v>0</v>
      </c>
      <c r="AB498" s="86">
        <f t="shared" si="55"/>
        <v>0</v>
      </c>
      <c r="AC498" s="146"/>
      <c r="AD498" s="146"/>
      <c r="AE498" s="425" t="s">
        <v>347</v>
      </c>
      <c r="AF498" s="424"/>
      <c r="AG498" s="1067"/>
      <c r="AH498" s="1067"/>
      <c r="AK498" s="146"/>
      <c r="AL498" s="146"/>
      <c r="AM498" s="146"/>
      <c r="AN498" s="146"/>
    </row>
    <row r="499" spans="2:40" hidden="1" x14ac:dyDescent="0.25">
      <c r="B499" s="12" t="s">
        <v>389</v>
      </c>
      <c r="C499" s="13" t="s">
        <v>96</v>
      </c>
      <c r="D499" s="3" t="s">
        <v>10</v>
      </c>
      <c r="E499" s="329">
        <v>0</v>
      </c>
      <c r="F499" s="458">
        <f>F423</f>
        <v>0</v>
      </c>
      <c r="G499" s="329">
        <v>0</v>
      </c>
      <c r="H499" s="460">
        <f>H423</f>
        <v>0</v>
      </c>
      <c r="K499" s="12" t="s">
        <v>389</v>
      </c>
      <c r="L499" s="13" t="s">
        <v>96</v>
      </c>
      <c r="M499" s="3" t="s">
        <v>10</v>
      </c>
      <c r="N499" s="329">
        <v>0</v>
      </c>
      <c r="O499" s="329">
        <f>IF(Provozování!$V$16="Neaktivní",0,F499)</f>
        <v>0</v>
      </c>
      <c r="P499" s="329">
        <v>0</v>
      </c>
      <c r="Q499" s="330">
        <f>IF(Provozování!$V$16="Neaktivní",0,H499)</f>
        <v>0</v>
      </c>
      <c r="T499" s="42" t="s">
        <v>389</v>
      </c>
      <c r="U499" s="13" t="s">
        <v>96</v>
      </c>
      <c r="V499" s="3" t="s">
        <v>10</v>
      </c>
      <c r="W499" s="458">
        <v>0</v>
      </c>
      <c r="X499" s="329">
        <f>F499</f>
        <v>0</v>
      </c>
      <c r="Y499" s="329">
        <f>W499-X499</f>
        <v>0</v>
      </c>
      <c r="Z499" s="458">
        <v>0</v>
      </c>
      <c r="AA499" s="329">
        <f>H499</f>
        <v>0</v>
      </c>
      <c r="AB499" s="330">
        <f>Z499-AA499</f>
        <v>0</v>
      </c>
      <c r="AC499" s="146"/>
      <c r="AD499" s="146"/>
      <c r="AK499" s="146"/>
      <c r="AL499" s="146"/>
      <c r="AM499" s="146"/>
      <c r="AN499" s="146"/>
    </row>
    <row r="500" spans="2:40" hidden="1" x14ac:dyDescent="0.25">
      <c r="B500" s="12" t="s">
        <v>389</v>
      </c>
      <c r="C500" s="13" t="s">
        <v>97</v>
      </c>
      <c r="D500" s="3" t="s">
        <v>10</v>
      </c>
      <c r="E500" s="329">
        <v>0</v>
      </c>
      <c r="F500" s="458">
        <f>F424</f>
        <v>0</v>
      </c>
      <c r="G500" s="329">
        <v>0</v>
      </c>
      <c r="H500" s="460">
        <f>H424</f>
        <v>0</v>
      </c>
      <c r="K500" s="12" t="s">
        <v>389</v>
      </c>
      <c r="L500" s="13" t="s">
        <v>97</v>
      </c>
      <c r="M500" s="3" t="s">
        <v>10</v>
      </c>
      <c r="N500" s="329">
        <v>0</v>
      </c>
      <c r="O500" s="329">
        <f>IF(Provozování!$V$16="Neaktivní",0,F500)</f>
        <v>0</v>
      </c>
      <c r="P500" s="329">
        <v>0</v>
      </c>
      <c r="Q500" s="330">
        <f>IF(Provozování!$V$16="Neaktivní",0,H500)</f>
        <v>0</v>
      </c>
      <c r="T500" s="12" t="s">
        <v>389</v>
      </c>
      <c r="U500" s="13" t="s">
        <v>97</v>
      </c>
      <c r="V500" s="3" t="s">
        <v>10</v>
      </c>
      <c r="W500" s="458">
        <v>0</v>
      </c>
      <c r="X500" s="329">
        <f>F500</f>
        <v>0</v>
      </c>
      <c r="Y500" s="329">
        <f>W500-X500</f>
        <v>0</v>
      </c>
      <c r="Z500" s="458">
        <v>0</v>
      </c>
      <c r="AA500" s="329">
        <f>H500</f>
        <v>0</v>
      </c>
      <c r="AB500" s="330">
        <f>Z500-AA500</f>
        <v>0</v>
      </c>
      <c r="AC500" s="146"/>
      <c r="AD500" s="146"/>
      <c r="AK500" s="146"/>
      <c r="AL500" s="146"/>
      <c r="AM500" s="146"/>
      <c r="AN500" s="146"/>
    </row>
    <row r="501" spans="2:40" x14ac:dyDescent="0.25">
      <c r="B501" s="12" t="s">
        <v>51</v>
      </c>
      <c r="C501" s="13" t="s">
        <v>54</v>
      </c>
      <c r="D501" s="3" t="s">
        <v>55</v>
      </c>
      <c r="E501" s="331">
        <v>0</v>
      </c>
      <c r="F501" s="459">
        <f>F425</f>
        <v>0</v>
      </c>
      <c r="G501" s="331">
        <v>0</v>
      </c>
      <c r="H501" s="459">
        <f>H425</f>
        <v>0</v>
      </c>
      <c r="K501" s="12" t="s">
        <v>51</v>
      </c>
      <c r="L501" s="13" t="s">
        <v>54</v>
      </c>
      <c r="M501" s="3" t="s">
        <v>55</v>
      </c>
      <c r="N501" s="331">
        <v>0</v>
      </c>
      <c r="O501" s="331">
        <f>IF(Provozování!$V$16="Neaktivní",0,F501)</f>
        <v>0</v>
      </c>
      <c r="P501" s="331">
        <v>0</v>
      </c>
      <c r="Q501" s="332">
        <f>IF(Provozování!$V$16="Neaktivní",0,H501)</f>
        <v>0</v>
      </c>
      <c r="T501" s="12" t="s">
        <v>51</v>
      </c>
      <c r="U501" s="13" t="s">
        <v>54</v>
      </c>
      <c r="V501" s="3" t="s">
        <v>55</v>
      </c>
      <c r="W501" s="466">
        <v>0</v>
      </c>
      <c r="X501" s="331">
        <f>F501</f>
        <v>0</v>
      </c>
      <c r="Y501" s="332">
        <f>W501-X501</f>
        <v>0</v>
      </c>
      <c r="Z501" s="466">
        <v>0</v>
      </c>
      <c r="AA501" s="331">
        <f>H501</f>
        <v>0</v>
      </c>
      <c r="AB501" s="332">
        <f>Z501-AA501</f>
        <v>0</v>
      </c>
      <c r="AC501" s="146"/>
      <c r="AD501" s="146"/>
      <c r="AE501" s="1068" t="s">
        <v>337</v>
      </c>
      <c r="AF501" s="1069"/>
      <c r="AG501" s="1072" t="str">
        <f>IF(AG497&gt;0,"úspora",IF(AG497&lt;0,"ztráta provozovatele","-"))</f>
        <v>-</v>
      </c>
      <c r="AH501" s="1072" t="str">
        <f>IF(AH497&gt;0,"úspora",IF(AH497&lt;0,"ztráta provozovatele","-"))</f>
        <v>-</v>
      </c>
      <c r="AK501" s="146"/>
      <c r="AL501" s="146"/>
      <c r="AM501" s="146"/>
      <c r="AN501" s="146"/>
    </row>
    <row r="502" spans="2:40" x14ac:dyDescent="0.25">
      <c r="B502" s="12" t="s">
        <v>52</v>
      </c>
      <c r="C502" s="13" t="s">
        <v>57</v>
      </c>
      <c r="D502" s="3" t="s">
        <v>58</v>
      </c>
      <c r="E502" s="44">
        <v>0</v>
      </c>
      <c r="F502" s="44">
        <f>IF(YEAR(Postup!$H$25)&gt;$D$460,Provozování!AN49,IF(AND(DAY(Postup!$H$25)=31,MONTH(Postup!$H$25)=12,YEAR(Postup!$H$25)=$D$460),Provozování!AN49,IF(YEAR(Postup!$H$25)=$D$460,Provozování!$BL49,0)))</f>
        <v>0</v>
      </c>
      <c r="G502" s="44">
        <v>0</v>
      </c>
      <c r="H502" s="334">
        <v>0</v>
      </c>
      <c r="K502" s="12" t="s">
        <v>52</v>
      </c>
      <c r="L502" s="13" t="s">
        <v>57</v>
      </c>
      <c r="M502" s="3" t="s">
        <v>58</v>
      </c>
      <c r="N502" s="44">
        <v>0</v>
      </c>
      <c r="O502" s="44">
        <f>IF(Provozování!$AP$16="Neaktivní",0,Provozování!AP49)</f>
        <v>0</v>
      </c>
      <c r="P502" s="44">
        <v>0</v>
      </c>
      <c r="Q502" s="334">
        <v>0</v>
      </c>
      <c r="T502" s="12" t="s">
        <v>52</v>
      </c>
      <c r="U502" s="13" t="s">
        <v>57</v>
      </c>
      <c r="V502" s="3" t="s">
        <v>58</v>
      </c>
      <c r="W502" s="462">
        <v>0</v>
      </c>
      <c r="X502" s="44">
        <f>IF(Provozování!$AP$16="Neaktivní",F502,O502)</f>
        <v>0</v>
      </c>
      <c r="Y502" s="44">
        <f>W502-X502</f>
        <v>0</v>
      </c>
      <c r="Z502" s="337">
        <v>0</v>
      </c>
      <c r="AA502" s="337">
        <v>0</v>
      </c>
      <c r="AB502" s="334">
        <v>0</v>
      </c>
      <c r="AC502" s="146"/>
      <c r="AD502" s="146"/>
      <c r="AE502" s="1070"/>
      <c r="AF502" s="1071"/>
      <c r="AG502" s="1000"/>
      <c r="AH502" s="1000"/>
      <c r="AK502" s="146"/>
      <c r="AL502" s="146"/>
      <c r="AM502" s="146"/>
      <c r="AN502" s="146"/>
    </row>
    <row r="503" spans="2:40" x14ac:dyDescent="0.25">
      <c r="B503" s="12" t="s">
        <v>53</v>
      </c>
      <c r="C503" s="13" t="s">
        <v>60</v>
      </c>
      <c r="D503" s="3" t="s">
        <v>58</v>
      </c>
      <c r="E503" s="44">
        <v>0</v>
      </c>
      <c r="F503" s="44">
        <f>IF(YEAR(Postup!$H$25)&gt;$D$460,Provozování!AN50,IF(AND(DAY(Postup!$H$25)=31,MONTH(Postup!$H$25)=12,YEAR(Postup!$H$25)=$D$460),Provozování!AN50,IF(YEAR(Postup!$H$25)=$D$460,Provozování!$BL50,0)))</f>
        <v>0</v>
      </c>
      <c r="G503" s="44">
        <v>0</v>
      </c>
      <c r="H503" s="334">
        <v>0</v>
      </c>
      <c r="K503" s="12" t="s">
        <v>53</v>
      </c>
      <c r="L503" s="13" t="s">
        <v>60</v>
      </c>
      <c r="M503" s="3" t="s">
        <v>58</v>
      </c>
      <c r="N503" s="44">
        <v>0</v>
      </c>
      <c r="O503" s="44">
        <f>IF(Provozování!$AP$16="Neaktivní",0,Provozování!AP50)</f>
        <v>0</v>
      </c>
      <c r="P503" s="44">
        <v>0</v>
      </c>
      <c r="Q503" s="334">
        <v>0</v>
      </c>
      <c r="T503" s="12" t="s">
        <v>53</v>
      </c>
      <c r="U503" s="13" t="s">
        <v>60</v>
      </c>
      <c r="V503" s="3" t="s">
        <v>58</v>
      </c>
      <c r="W503" s="462">
        <v>0</v>
      </c>
      <c r="X503" s="44">
        <f>IF(Provozování!$AP$16="Neaktivní",F503,O503)</f>
        <v>0</v>
      </c>
      <c r="Y503" s="44">
        <f>W503-X503</f>
        <v>0</v>
      </c>
      <c r="Z503" s="337">
        <v>0</v>
      </c>
      <c r="AA503" s="337">
        <v>0</v>
      </c>
      <c r="AB503" s="334">
        <v>0</v>
      </c>
      <c r="AC503" s="146"/>
      <c r="AD503" s="146"/>
      <c r="AE503" s="414" t="s">
        <v>343</v>
      </c>
      <c r="AF503" s="414"/>
      <c r="AG503" s="344">
        <f>IF(AG497&gt;0,AG497/AG494,0)</f>
        <v>0</v>
      </c>
      <c r="AH503" s="344">
        <f>IF(AH497&gt;0,AH497/AH494,0)</f>
        <v>0</v>
      </c>
      <c r="AK503" s="146"/>
      <c r="AL503" s="146"/>
      <c r="AM503" s="146"/>
      <c r="AN503" s="146"/>
    </row>
    <row r="504" spans="2:40" x14ac:dyDescent="0.25">
      <c r="B504" s="12" t="s">
        <v>56</v>
      </c>
      <c r="C504" s="13" t="s">
        <v>62</v>
      </c>
      <c r="D504" s="3" t="s">
        <v>58</v>
      </c>
      <c r="E504" s="44">
        <v>0</v>
      </c>
      <c r="F504" s="337">
        <v>0</v>
      </c>
      <c r="G504" s="44">
        <v>0</v>
      </c>
      <c r="H504" s="30">
        <f>IF(YEAR(Postup!$H$25)&gt;$D$460,Provozování!AO51,IF(AND(DAY(Postup!$H$25)=31,MONTH(Postup!$H$25)=12,YEAR(Postup!$H$25)=$D$460),Provozování!AO51,IF(YEAR(Postup!$H$25)=$D$460,Provozování!$BM51,0)))</f>
        <v>0</v>
      </c>
      <c r="K504" s="12" t="s">
        <v>56</v>
      </c>
      <c r="L504" s="13" t="s">
        <v>62</v>
      </c>
      <c r="M504" s="3" t="s">
        <v>58</v>
      </c>
      <c r="N504" s="44">
        <v>0</v>
      </c>
      <c r="O504" s="337">
        <v>0</v>
      </c>
      <c r="P504" s="44">
        <v>0</v>
      </c>
      <c r="Q504" s="30">
        <f>IF(Provozování!$AP$16="Neaktivní",0,Provozování!AQ51)</f>
        <v>0</v>
      </c>
      <c r="T504" s="12" t="s">
        <v>56</v>
      </c>
      <c r="U504" s="13" t="s">
        <v>62</v>
      </c>
      <c r="V504" s="3" t="s">
        <v>58</v>
      </c>
      <c r="W504" s="337">
        <v>0</v>
      </c>
      <c r="X504" s="337">
        <v>0</v>
      </c>
      <c r="Y504" s="337">
        <v>0</v>
      </c>
      <c r="Z504" s="462">
        <v>0</v>
      </c>
      <c r="AA504" s="44">
        <f>IF(Provozování!$AP$16="Neaktivní",H504,Q504)</f>
        <v>0</v>
      </c>
      <c r="AB504" s="30">
        <f t="shared" ref="AB504:AB509" si="56">Z504-AA504</f>
        <v>0</v>
      </c>
      <c r="AC504" s="146"/>
      <c r="AD504" s="146"/>
      <c r="AE504" s="437" t="s">
        <v>323</v>
      </c>
      <c r="AF504" s="437"/>
      <c r="AG504" s="715"/>
      <c r="AH504" s="715"/>
      <c r="AK504" s="146"/>
      <c r="AL504" s="146"/>
      <c r="AM504" s="146"/>
      <c r="AN504" s="146"/>
    </row>
    <row r="505" spans="2:40" x14ac:dyDescent="0.25">
      <c r="B505" s="12" t="s">
        <v>59</v>
      </c>
      <c r="C505" s="13" t="s">
        <v>60</v>
      </c>
      <c r="D505" s="3" t="s">
        <v>58</v>
      </c>
      <c r="E505" s="44">
        <v>0</v>
      </c>
      <c r="F505" s="337">
        <v>0</v>
      </c>
      <c r="G505" s="44">
        <v>0</v>
      </c>
      <c r="H505" s="30">
        <f>IF(YEAR(Postup!$H$25)&gt;$D$460,Provozování!AO52,IF(AND(DAY(Postup!$H$25)=31,MONTH(Postup!$H$25)=12,YEAR(Postup!$H$25)=$D$460),Provozování!AO52,IF(YEAR(Postup!$H$25)=$D$460,Provozování!$BM52,0)))</f>
        <v>0</v>
      </c>
      <c r="K505" s="12" t="s">
        <v>59</v>
      </c>
      <c r="L505" s="13" t="s">
        <v>60</v>
      </c>
      <c r="M505" s="3" t="s">
        <v>58</v>
      </c>
      <c r="N505" s="44">
        <v>0</v>
      </c>
      <c r="O505" s="337">
        <v>0</v>
      </c>
      <c r="P505" s="44">
        <v>0</v>
      </c>
      <c r="Q505" s="30">
        <f>IF(Provozování!$AP$16="Neaktivní",0,Provozování!AQ52)</f>
        <v>0</v>
      </c>
      <c r="T505" s="12" t="s">
        <v>59</v>
      </c>
      <c r="U505" s="13" t="s">
        <v>60</v>
      </c>
      <c r="V505" s="3" t="s">
        <v>58</v>
      </c>
      <c r="W505" s="337">
        <v>0</v>
      </c>
      <c r="X505" s="337">
        <v>0</v>
      </c>
      <c r="Y505" s="337">
        <v>0</v>
      </c>
      <c r="Z505" s="462">
        <v>0</v>
      </c>
      <c r="AA505" s="44">
        <f>IF(Provozování!$AP$16="Neaktivní",H505,Q505)</f>
        <v>0</v>
      </c>
      <c r="AB505" s="30">
        <f t="shared" si="56"/>
        <v>0</v>
      </c>
      <c r="AC505" s="146"/>
      <c r="AD505" s="146"/>
      <c r="AE505" s="438" t="s">
        <v>334</v>
      </c>
      <c r="AF505" s="438"/>
      <c r="AG505" s="712">
        <f>IF(AG503&gt;0,AG494*AI505*0.5,0)</f>
        <v>0</v>
      </c>
      <c r="AH505" s="712">
        <f>IF(AH503&gt;0,AH494*AJ505*0.5,0)</f>
        <v>0</v>
      </c>
      <c r="AI505" s="345">
        <f>IF(AG503&gt;0.05,0.05,AG503)</f>
        <v>0</v>
      </c>
      <c r="AJ505" s="345">
        <f>IF(AH503&gt;0.05,0.05,AH503)</f>
        <v>0</v>
      </c>
      <c r="AK505" s="146"/>
      <c r="AL505" s="146"/>
      <c r="AM505" s="146"/>
      <c r="AN505" s="146"/>
    </row>
    <row r="506" spans="2:40" x14ac:dyDescent="0.25">
      <c r="B506" s="12" t="s">
        <v>61</v>
      </c>
      <c r="C506" s="13" t="s">
        <v>65</v>
      </c>
      <c r="D506" s="3" t="s">
        <v>58</v>
      </c>
      <c r="E506" s="44">
        <v>0</v>
      </c>
      <c r="F506" s="337">
        <v>0</v>
      </c>
      <c r="G506" s="44">
        <v>0</v>
      </c>
      <c r="H506" s="30">
        <f>IF(YEAR(Postup!$H$25)&gt;$D$460,Provozování!AO53,IF(AND(DAY(Postup!$H$25)=31,MONTH(Postup!$H$25)=12,YEAR(Postup!$H$25)=$D$460),Provozování!AO53,IF(YEAR(Postup!$H$25)=$D$460,Provozování!$BM53,0)))</f>
        <v>0</v>
      </c>
      <c r="K506" s="12" t="s">
        <v>61</v>
      </c>
      <c r="L506" s="13" t="s">
        <v>65</v>
      </c>
      <c r="M506" s="3" t="s">
        <v>58</v>
      </c>
      <c r="N506" s="44">
        <v>0</v>
      </c>
      <c r="O506" s="337">
        <v>0</v>
      </c>
      <c r="P506" s="44">
        <v>0</v>
      </c>
      <c r="Q506" s="30">
        <f>IF(Provozování!$AP$16="Neaktivní",0,Provozování!AQ53)</f>
        <v>0</v>
      </c>
      <c r="T506" s="12" t="s">
        <v>61</v>
      </c>
      <c r="U506" s="13" t="s">
        <v>65</v>
      </c>
      <c r="V506" s="3" t="s">
        <v>58</v>
      </c>
      <c r="W506" s="337">
        <v>0</v>
      </c>
      <c r="X506" s="337">
        <v>0</v>
      </c>
      <c r="Y506" s="337">
        <v>0</v>
      </c>
      <c r="Z506" s="462">
        <v>0</v>
      </c>
      <c r="AA506" s="44">
        <f>IF(Provozování!$AP$16="Neaktivní",H506,Q506)</f>
        <v>0</v>
      </c>
      <c r="AB506" s="30">
        <f t="shared" si="56"/>
        <v>0</v>
      </c>
      <c r="AC506" s="146"/>
      <c r="AD506" s="146"/>
      <c r="AE506" s="415" t="s">
        <v>335</v>
      </c>
      <c r="AF506" s="415"/>
      <c r="AG506" s="270">
        <f>IF(AI506&gt;0,AG494*(AI506-0.05)*0.8,0)</f>
        <v>0</v>
      </c>
      <c r="AH506" s="270">
        <f>IF(AJ506&gt;0,AH494*(AJ506-0.05)*0.8,0)</f>
        <v>0</v>
      </c>
      <c r="AI506" s="345">
        <f>IF(AND(AG503&gt;0.05,AG503&lt;=0.1),AG503,IF(AG503&lt;=0.05,0,0.1))</f>
        <v>0</v>
      </c>
      <c r="AJ506" s="345">
        <f>IF(AND(AH503&gt;0.05,AH503&lt;=0.1),AH503,IF(AH503&lt;=0.05,0,0.1))</f>
        <v>0</v>
      </c>
      <c r="AK506" s="146"/>
      <c r="AL506" s="146"/>
      <c r="AM506" s="146"/>
      <c r="AN506" s="146"/>
    </row>
    <row r="507" spans="2:40" x14ac:dyDescent="0.25">
      <c r="B507" s="12" t="s">
        <v>63</v>
      </c>
      <c r="C507" s="13" t="s">
        <v>67</v>
      </c>
      <c r="D507" s="3" t="s">
        <v>58</v>
      </c>
      <c r="E507" s="44">
        <v>0</v>
      </c>
      <c r="F507" s="337">
        <v>0</v>
      </c>
      <c r="G507" s="44">
        <v>0</v>
      </c>
      <c r="H507" s="30">
        <f>IF(YEAR(Postup!$H$25)&gt;$D$460,Provozování!AO54,IF(AND(DAY(Postup!$H$25)=31,MONTH(Postup!$H$25)=12,YEAR(Postup!$H$25)=$D$460),Provozování!AO54,IF(YEAR(Postup!$H$25)=$D$460,Provozování!$BM54,0)))</f>
        <v>0</v>
      </c>
      <c r="K507" s="12" t="s">
        <v>63</v>
      </c>
      <c r="L507" s="13" t="s">
        <v>67</v>
      </c>
      <c r="M507" s="3" t="s">
        <v>58</v>
      </c>
      <c r="N507" s="44">
        <v>0</v>
      </c>
      <c r="O507" s="337">
        <v>0</v>
      </c>
      <c r="P507" s="44">
        <v>0</v>
      </c>
      <c r="Q507" s="30">
        <f>IF(Provozování!$AP$16="Neaktivní",0,Provozování!AQ54)</f>
        <v>0</v>
      </c>
      <c r="T507" s="12" t="s">
        <v>63</v>
      </c>
      <c r="U507" s="13" t="s">
        <v>67</v>
      </c>
      <c r="V507" s="3" t="s">
        <v>58</v>
      </c>
      <c r="W507" s="337">
        <v>0</v>
      </c>
      <c r="X507" s="337">
        <v>0</v>
      </c>
      <c r="Y507" s="337">
        <v>0</v>
      </c>
      <c r="Z507" s="462">
        <v>0</v>
      </c>
      <c r="AA507" s="44">
        <f>IF(Provozování!$AP$16="Neaktivní",H507,Q507)</f>
        <v>0</v>
      </c>
      <c r="AB507" s="30">
        <f t="shared" si="56"/>
        <v>0</v>
      </c>
      <c r="AC507" s="146"/>
      <c r="AD507" s="146"/>
      <c r="AE507" s="415" t="s">
        <v>336</v>
      </c>
      <c r="AF507" s="415"/>
      <c r="AG507" s="270">
        <f>IF(AI507&gt;0,AG494*(AI507-0.1)*1,0)</f>
        <v>0</v>
      </c>
      <c r="AH507" s="270">
        <f>IF(AJ507&gt;0,AH494*(AJ507-0.1)*1,0)</f>
        <v>0</v>
      </c>
      <c r="AI507" s="345">
        <f>IF(AG503&gt;0.1,AG503,0)</f>
        <v>0</v>
      </c>
      <c r="AJ507" s="345">
        <f>IF(AH503&gt;0.1,AH503,0)</f>
        <v>0</v>
      </c>
      <c r="AK507" s="146"/>
      <c r="AL507" s="146"/>
      <c r="AM507" s="146"/>
      <c r="AN507" s="146"/>
    </row>
    <row r="508" spans="2:40" x14ac:dyDescent="0.25">
      <c r="B508" s="12" t="s">
        <v>64</v>
      </c>
      <c r="C508" s="13" t="s">
        <v>68</v>
      </c>
      <c r="D508" s="3" t="s">
        <v>58</v>
      </c>
      <c r="E508" s="44">
        <v>0</v>
      </c>
      <c r="F508" s="44">
        <f>IF(YEAR(Postup!$H$25)&gt;$D$460,Provozování!AN55,IF(AND(DAY(Postup!$H$25)=31,MONTH(Postup!$H$25)=12,YEAR(Postup!$H$25)=$D$460),Provozování!AN55,IF(YEAR(Postup!$H$25)=$D$460,Provozování!$BL55,0)))</f>
        <v>0</v>
      </c>
      <c r="G508" s="44">
        <v>0</v>
      </c>
      <c r="H508" s="30">
        <f>IF(YEAR(Postup!$H$25)&gt;$D$460,Provozování!AO55,IF(AND(DAY(Postup!$H$25)=31,MONTH(Postup!$H$25)=12,YEAR(Postup!$H$25)=$D$460),Provozování!AO55,IF(YEAR(Postup!$H$25)=$D$460,Provozování!$BM55,0)))</f>
        <v>0</v>
      </c>
      <c r="K508" s="12" t="s">
        <v>64</v>
      </c>
      <c r="L508" s="13" t="s">
        <v>68</v>
      </c>
      <c r="M508" s="3" t="s">
        <v>58</v>
      </c>
      <c r="N508" s="44">
        <v>0</v>
      </c>
      <c r="O508" s="44">
        <f>IF(Provozování!$AP$16="Neaktivní",0,Provozování!AP55)</f>
        <v>0</v>
      </c>
      <c r="P508" s="44">
        <v>0</v>
      </c>
      <c r="Q508" s="30">
        <f>IF(Provozování!$AP$16="Neaktivní",0,Provozování!AQ55)</f>
        <v>0</v>
      </c>
      <c r="T508" s="12" t="s">
        <v>64</v>
      </c>
      <c r="U508" s="13" t="s">
        <v>68</v>
      </c>
      <c r="V508" s="3" t="s">
        <v>58</v>
      </c>
      <c r="W508" s="462">
        <v>0</v>
      </c>
      <c r="X508" s="44">
        <f>IF(Provozování!$AP$16="Neaktivní",F508,O508)</f>
        <v>0</v>
      </c>
      <c r="Y508" s="44">
        <f>W508-X508</f>
        <v>0</v>
      </c>
      <c r="Z508" s="462">
        <v>0</v>
      </c>
      <c r="AA508" s="44">
        <f>IF(Provozování!$AP$16="Neaktivní",H508,Q508)</f>
        <v>0</v>
      </c>
      <c r="AB508" s="30">
        <f t="shared" si="56"/>
        <v>0</v>
      </c>
      <c r="AC508" s="146"/>
      <c r="AD508" s="146"/>
      <c r="AE508" s="413" t="s">
        <v>324</v>
      </c>
      <c r="AF508" s="413"/>
      <c r="AG508" s="346">
        <f>SUM(AG505:AG507)</f>
        <v>0</v>
      </c>
      <c r="AH508" s="346">
        <f>SUM(AH505:AH507)</f>
        <v>0</v>
      </c>
      <c r="AK508" s="146"/>
      <c r="AL508" s="146"/>
      <c r="AM508" s="146"/>
      <c r="AN508" s="146"/>
    </row>
    <row r="509" spans="2:40" x14ac:dyDescent="0.25">
      <c r="B509" s="12" t="s">
        <v>66</v>
      </c>
      <c r="C509" s="13" t="s">
        <v>69</v>
      </c>
      <c r="D509" s="3" t="s">
        <v>58</v>
      </c>
      <c r="E509" s="44">
        <v>0</v>
      </c>
      <c r="F509" s="44">
        <f>IF(YEAR(Postup!$H$25)&gt;$D$460,Provozování!AN56,IF(AND(DAY(Postup!$H$25)=31,MONTH(Postup!$H$25)=12,YEAR(Postup!$H$25)=$D$460),Provozování!AN56,IF(YEAR(Postup!$H$25)=$D$460,Provozování!$BL56,0)))</f>
        <v>0</v>
      </c>
      <c r="G509" s="44">
        <v>0</v>
      </c>
      <c r="H509" s="30">
        <f>IF(YEAR(Postup!$H$25)&gt;$D$460,Provozování!AO56,IF(AND(DAY(Postup!$H$25)=31,MONTH(Postup!$H$25)=12,YEAR(Postup!$H$25)=$D$460),Provozování!AO56,IF(YEAR(Postup!$H$25)=$D$460,Provozování!$BM56,0)))</f>
        <v>0</v>
      </c>
      <c r="K509" s="12" t="s">
        <v>66</v>
      </c>
      <c r="L509" s="13" t="s">
        <v>69</v>
      </c>
      <c r="M509" s="3" t="s">
        <v>58</v>
      </c>
      <c r="N509" s="44">
        <v>0</v>
      </c>
      <c r="O509" s="44">
        <f>IF(Provozování!$AP$16="Neaktivní",0,Provozování!AP56)</f>
        <v>0</v>
      </c>
      <c r="P509" s="44">
        <v>0</v>
      </c>
      <c r="Q509" s="30">
        <f>IF(Provozování!$AP$16="Neaktivní",0,Provozování!AQ56)</f>
        <v>0</v>
      </c>
      <c r="T509" s="12" t="s">
        <v>66</v>
      </c>
      <c r="U509" s="13" t="s">
        <v>69</v>
      </c>
      <c r="V509" s="3" t="s">
        <v>58</v>
      </c>
      <c r="W509" s="462">
        <v>0</v>
      </c>
      <c r="X509" s="44">
        <f>IF(Provozování!$AP$16="Neaktivní",F509,O509)</f>
        <v>0</v>
      </c>
      <c r="Y509" s="44">
        <f>W509-X509</f>
        <v>0</v>
      </c>
      <c r="Z509" s="462">
        <v>0</v>
      </c>
      <c r="AA509" s="44">
        <f>IF(Provozování!$AP$16="Neaktivní",H509,Q509)</f>
        <v>0</v>
      </c>
      <c r="AB509" s="30">
        <f t="shared" si="56"/>
        <v>0</v>
      </c>
      <c r="AC509" s="146"/>
      <c r="AD509" s="146"/>
      <c r="AE509" s="146"/>
      <c r="AF509" s="146"/>
      <c r="AG509" s="146"/>
      <c r="AH509" s="146"/>
      <c r="AI509" s="146"/>
      <c r="AJ509" s="146"/>
      <c r="AK509" s="146"/>
      <c r="AL509" s="146"/>
      <c r="AM509" s="146"/>
      <c r="AN509" s="146"/>
    </row>
    <row r="510" spans="2:40" x14ac:dyDescent="0.25">
      <c r="B510" s="1"/>
      <c r="C510" s="1"/>
      <c r="D510" s="1"/>
      <c r="E510" s="1"/>
      <c r="F510" s="347"/>
      <c r="G510" s="1"/>
      <c r="H510" s="347"/>
      <c r="K510" s="1"/>
      <c r="L510" s="1"/>
      <c r="M510" s="1"/>
      <c r="N510" s="1"/>
      <c r="O510" s="1"/>
      <c r="P510" s="1"/>
      <c r="Q510" s="1"/>
      <c r="T510" s="1"/>
      <c r="U510" s="1"/>
      <c r="V510" s="1"/>
      <c r="W510" s="1"/>
      <c r="X510" s="1"/>
      <c r="Y510" s="1"/>
      <c r="Z510" s="1"/>
      <c r="AA510" s="1"/>
      <c r="AB510" s="1"/>
      <c r="AC510" s="146"/>
      <c r="AD510" s="146"/>
      <c r="AE510" s="146"/>
      <c r="AF510" s="146"/>
      <c r="AG510" s="146"/>
      <c r="AH510" s="146"/>
      <c r="AI510" s="146"/>
      <c r="AJ510" s="146"/>
      <c r="AK510" s="146"/>
      <c r="AL510" s="146"/>
      <c r="AM510" s="146"/>
      <c r="AN510" s="146"/>
    </row>
    <row r="511" spans="2:40" x14ac:dyDescent="0.25">
      <c r="B511" s="1052" t="s">
        <v>5</v>
      </c>
      <c r="C511" s="884" t="s">
        <v>70</v>
      </c>
      <c r="D511" s="868"/>
      <c r="E511" s="1082"/>
      <c r="F511" s="1083"/>
      <c r="G511" s="868"/>
      <c r="H511" s="869"/>
      <c r="K511" s="1052" t="s">
        <v>5</v>
      </c>
      <c r="L511" s="884" t="s">
        <v>70</v>
      </c>
      <c r="M511" s="868"/>
      <c r="N511" s="1082"/>
      <c r="O511" s="1083"/>
      <c r="P511" s="868"/>
      <c r="Q511" s="869"/>
      <c r="T511" s="1098" t="s">
        <v>5</v>
      </c>
      <c r="U511" s="884" t="s">
        <v>70</v>
      </c>
      <c r="V511" s="868"/>
      <c r="W511" s="1082"/>
      <c r="X511" s="1082"/>
      <c r="Y511" s="1083"/>
      <c r="Z511" s="868"/>
      <c r="AA511" s="868"/>
      <c r="AB511" s="869"/>
      <c r="AC511" s="146"/>
      <c r="AD511" s="146"/>
      <c r="AE511" s="146"/>
      <c r="AF511" s="146"/>
      <c r="AG511" s="146"/>
      <c r="AH511" s="146"/>
      <c r="AI511" s="146"/>
      <c r="AJ511" s="146"/>
      <c r="AK511" s="146"/>
      <c r="AL511" s="146"/>
      <c r="AM511" s="146"/>
      <c r="AN511" s="146"/>
    </row>
    <row r="512" spans="2:40" x14ac:dyDescent="0.25">
      <c r="B512" s="1053"/>
      <c r="C512" s="1052" t="s">
        <v>71</v>
      </c>
      <c r="D512" s="1065" t="s">
        <v>133</v>
      </c>
      <c r="E512" s="1085" t="s">
        <v>102</v>
      </c>
      <c r="F512" s="1086"/>
      <c r="G512" s="85" t="s">
        <v>3</v>
      </c>
      <c r="H512" s="23" t="s">
        <v>4</v>
      </c>
      <c r="K512" s="1053"/>
      <c r="L512" s="5" t="s">
        <v>71</v>
      </c>
      <c r="M512" s="1065" t="s">
        <v>133</v>
      </c>
      <c r="N512" s="1085" t="s">
        <v>102</v>
      </c>
      <c r="O512" s="1086"/>
      <c r="P512" s="85" t="s">
        <v>3</v>
      </c>
      <c r="Q512" s="23" t="s">
        <v>4</v>
      </c>
      <c r="T512" s="1099"/>
      <c r="U512" s="1052" t="s">
        <v>71</v>
      </c>
      <c r="V512" s="1065" t="s">
        <v>133</v>
      </c>
      <c r="W512" s="1085" t="s">
        <v>102</v>
      </c>
      <c r="X512" s="1086"/>
      <c r="Y512" s="1085" t="s">
        <v>3</v>
      </c>
      <c r="Z512" s="1101"/>
      <c r="AA512" s="1102" t="s">
        <v>4</v>
      </c>
      <c r="AB512" s="1102"/>
      <c r="AC512" s="146"/>
      <c r="AD512" s="146"/>
      <c r="AE512" s="146"/>
      <c r="AF512" s="146"/>
      <c r="AG512" s="146"/>
      <c r="AH512" s="146"/>
      <c r="AI512" s="146"/>
      <c r="AJ512" s="146"/>
      <c r="AK512" s="146"/>
      <c r="AL512" s="146"/>
      <c r="AM512" s="146"/>
      <c r="AN512" s="146"/>
    </row>
    <row r="513" spans="2:40" x14ac:dyDescent="0.25">
      <c r="B513" s="1054"/>
      <c r="C513" s="1054"/>
      <c r="D513" s="1084"/>
      <c r="E513" s="1087"/>
      <c r="F513" s="1088"/>
      <c r="G513" s="26" t="s">
        <v>7</v>
      </c>
      <c r="H513" s="24" t="s">
        <v>7</v>
      </c>
      <c r="K513" s="1054"/>
      <c r="L513" s="8"/>
      <c r="M513" s="1084"/>
      <c r="N513" s="1087"/>
      <c r="O513" s="1088"/>
      <c r="P513" s="26" t="s">
        <v>7</v>
      </c>
      <c r="Q513" s="24" t="s">
        <v>7</v>
      </c>
      <c r="T513" s="1100"/>
      <c r="U513" s="1054"/>
      <c r="V513" s="1084"/>
      <c r="W513" s="1087"/>
      <c r="X513" s="1088"/>
      <c r="Y513" s="37" t="s">
        <v>148</v>
      </c>
      <c r="Z513" s="37" t="s">
        <v>7</v>
      </c>
      <c r="AA513" s="37" t="s">
        <v>148</v>
      </c>
      <c r="AB513" s="37" t="s">
        <v>7</v>
      </c>
      <c r="AC513" s="146"/>
      <c r="AD513" s="146"/>
      <c r="AE513" s="146"/>
      <c r="AF513" s="146"/>
      <c r="AG513" s="146"/>
      <c r="AH513" s="146"/>
      <c r="AI513" s="146"/>
      <c r="AJ513" s="146"/>
      <c r="AK513" s="146"/>
      <c r="AL513" s="146"/>
      <c r="AM513" s="146"/>
      <c r="AN513" s="146"/>
    </row>
    <row r="514" spans="2:40" x14ac:dyDescent="0.25">
      <c r="B514" s="11">
        <v>1</v>
      </c>
      <c r="C514" s="11">
        <v>2</v>
      </c>
      <c r="D514" s="11" t="s">
        <v>95</v>
      </c>
      <c r="E514" s="873" t="s">
        <v>99</v>
      </c>
      <c r="F514" s="874"/>
      <c r="G514" s="11" t="s">
        <v>100</v>
      </c>
      <c r="H514" s="22" t="s">
        <v>101</v>
      </c>
      <c r="K514" s="11">
        <v>1</v>
      </c>
      <c r="L514" s="11">
        <v>2</v>
      </c>
      <c r="M514" s="11" t="s">
        <v>95</v>
      </c>
      <c r="N514" s="873" t="s">
        <v>99</v>
      </c>
      <c r="O514" s="874"/>
      <c r="P514" s="11" t="s">
        <v>100</v>
      </c>
      <c r="Q514" s="22" t="s">
        <v>101</v>
      </c>
      <c r="T514" s="11">
        <v>1</v>
      </c>
      <c r="U514" s="11">
        <v>2</v>
      </c>
      <c r="V514" s="11" t="s">
        <v>95</v>
      </c>
      <c r="W514" s="1096" t="s">
        <v>99</v>
      </c>
      <c r="X514" s="1097"/>
      <c r="Y514" s="11" t="s">
        <v>153</v>
      </c>
      <c r="Z514" s="11" t="s">
        <v>100</v>
      </c>
      <c r="AA514" s="11" t="s">
        <v>152</v>
      </c>
      <c r="AB514" s="22" t="s">
        <v>101</v>
      </c>
      <c r="AC514" s="146"/>
      <c r="AD514" s="146"/>
      <c r="AE514" s="146"/>
      <c r="AF514" s="146"/>
      <c r="AG514" s="146"/>
      <c r="AH514" s="146"/>
      <c r="AI514" s="146"/>
      <c r="AJ514" s="146"/>
      <c r="AK514" s="146"/>
      <c r="AL514" s="146"/>
      <c r="AM514" s="146"/>
      <c r="AN514" s="146"/>
    </row>
    <row r="515" spans="2:40" ht="14.45" customHeight="1" x14ac:dyDescent="0.25">
      <c r="B515" s="12" t="s">
        <v>72</v>
      </c>
      <c r="C515" s="13" t="s">
        <v>104</v>
      </c>
      <c r="D515" s="13" t="s">
        <v>73</v>
      </c>
      <c r="E515" s="875" t="s">
        <v>403</v>
      </c>
      <c r="F515" s="1048"/>
      <c r="G515" s="137">
        <f>IF(F502=0,IF(F508&lt;&gt;0,F498/F508,0),F498/F502)</f>
        <v>0</v>
      </c>
      <c r="H515" s="138">
        <f>IF((H504+H506)=0,IF(H509&lt;&gt;0,H498/H509,0),H498/(H504+H506))</f>
        <v>0</v>
      </c>
      <c r="K515" s="12" t="s">
        <v>72</v>
      </c>
      <c r="L515" s="13" t="s">
        <v>104</v>
      </c>
      <c r="M515" s="13" t="s">
        <v>73</v>
      </c>
      <c r="N515" s="875" t="s">
        <v>403</v>
      </c>
      <c r="O515" s="1048"/>
      <c r="P515" s="137">
        <f>IF(O502=0,IF(O508&lt;&gt;0,O498/O508,0),O498/O502)</f>
        <v>0</v>
      </c>
      <c r="Q515" s="138">
        <f>IF((Q504+Q506)=0,IF(Q509&lt;&gt;0,Q498/Q509,0),Q498/(Q504+Q506))</f>
        <v>0</v>
      </c>
      <c r="T515" s="12" t="s">
        <v>72</v>
      </c>
      <c r="U515" s="13" t="s">
        <v>104</v>
      </c>
      <c r="V515" s="13" t="s">
        <v>73</v>
      </c>
      <c r="W515" s="875" t="s">
        <v>403</v>
      </c>
      <c r="X515" s="1048"/>
      <c r="Y515" s="137">
        <f>IF(W502=0,IF(W508&lt;&gt;0,W498/W508,0),W498/W502)</f>
        <v>0</v>
      </c>
      <c r="Z515" s="137">
        <f>IF(X502=0,IF(X508&lt;&gt;0,X498/X508,0),X498/X502)</f>
        <v>0</v>
      </c>
      <c r="AA515" s="137">
        <f>IF((Z504+Z506)=0,IF(Z509&lt;&gt;0,Z498/Z509,0),Z498/(Z504+Z506))</f>
        <v>0</v>
      </c>
      <c r="AB515" s="138">
        <f>IF((AA504+AA506)=0,IF(AA509&lt;&gt;0,AA498/AA509,0),AA498/(AA504+AA506))</f>
        <v>0</v>
      </c>
      <c r="AC515" s="146"/>
      <c r="AD515" s="146"/>
      <c r="AE515" s="146"/>
      <c r="AF515" s="146"/>
      <c r="AG515" s="146"/>
      <c r="AH515" s="146"/>
      <c r="AI515" s="146"/>
      <c r="AJ515" s="146"/>
      <c r="AK515" s="146"/>
      <c r="AL515" s="146"/>
      <c r="AM515" s="146"/>
      <c r="AN515" s="146"/>
    </row>
    <row r="516" spans="2:40" x14ac:dyDescent="0.25">
      <c r="B516" s="12" t="s">
        <v>74</v>
      </c>
      <c r="C516" s="13" t="s">
        <v>358</v>
      </c>
      <c r="D516" s="13" t="s">
        <v>10</v>
      </c>
      <c r="E516" s="858" t="s">
        <v>404</v>
      </c>
      <c r="F516" s="870"/>
      <c r="G516" s="340">
        <f>G517+G518</f>
        <v>0</v>
      </c>
      <c r="H516" s="341">
        <f>H517+H518</f>
        <v>0</v>
      </c>
      <c r="K516" s="12" t="s">
        <v>74</v>
      </c>
      <c r="L516" s="13" t="s">
        <v>358</v>
      </c>
      <c r="M516" s="13" t="s">
        <v>10</v>
      </c>
      <c r="N516" s="858" t="s">
        <v>404</v>
      </c>
      <c r="O516" s="870"/>
      <c r="P516" s="340">
        <f>P517+P518</f>
        <v>0</v>
      </c>
      <c r="Q516" s="341">
        <f>Q517+Q518</f>
        <v>0</v>
      </c>
      <c r="T516" s="12" t="s">
        <v>74</v>
      </c>
      <c r="U516" s="13" t="s">
        <v>358</v>
      </c>
      <c r="V516" s="13" t="s">
        <v>10</v>
      </c>
      <c r="W516" s="858" t="s">
        <v>404</v>
      </c>
      <c r="X516" s="870"/>
      <c r="Y516" s="340">
        <f>Y517+Y518</f>
        <v>0</v>
      </c>
      <c r="Z516" s="340">
        <f>Z517+Z518</f>
        <v>0</v>
      </c>
      <c r="AA516" s="340">
        <f>AA517+AA518</f>
        <v>0</v>
      </c>
      <c r="AB516" s="341">
        <f>AB517+AB518</f>
        <v>0</v>
      </c>
      <c r="AC516" s="146"/>
      <c r="AD516" s="146"/>
      <c r="AE516" s="146"/>
      <c r="AF516" s="146"/>
      <c r="AG516" s="146"/>
      <c r="AH516" s="146"/>
      <c r="AI516" s="146"/>
      <c r="AJ516" s="146"/>
      <c r="AK516" s="146"/>
      <c r="AL516" s="146"/>
      <c r="AM516" s="146"/>
      <c r="AN516" s="146"/>
    </row>
    <row r="517" spans="2:40" x14ac:dyDescent="0.25">
      <c r="B517" s="12" t="s">
        <v>352</v>
      </c>
      <c r="C517" s="13" t="s">
        <v>359</v>
      </c>
      <c r="D517" s="13" t="s">
        <v>10</v>
      </c>
      <c r="E517" s="871"/>
      <c r="F517" s="872"/>
      <c r="G517" s="340">
        <f>IF(YEAR(Postup!$H$25)&gt;$D457,Provozování!AN$84,IF(AND(DAY(Postup!$H$25)=31,MONTH(Postup!$H$25)=12,YEAR(Postup!$H$25)=$D457),Provozování!AN$84,IF(YEAR(Postup!$H$25)=$D457,Provozování!$BL$84,0)))</f>
        <v>0</v>
      </c>
      <c r="H517" s="341">
        <f>IF(YEAR(Postup!$H$25)&gt;$D457,Provozování!AO$84,IF(AND(DAY(Postup!$H$25)=31,MONTH(Postup!$H$25)=12,YEAR(Postup!$H$25)=$D457),Provozování!AO$84,IF(YEAR(Postup!$H$25)=$D457,Provozování!$BM$84,0)))</f>
        <v>0</v>
      </c>
      <c r="K517" s="12" t="s">
        <v>352</v>
      </c>
      <c r="L517" s="13" t="s">
        <v>359</v>
      </c>
      <c r="M517" s="13" t="s">
        <v>10</v>
      </c>
      <c r="N517" s="871"/>
      <c r="O517" s="872"/>
      <c r="P517" s="340">
        <f>IF(Provozování!$AP$16="Neaktivní",0,Provozování!AP$84)</f>
        <v>0</v>
      </c>
      <c r="Q517" s="341">
        <f>IF(Provozování!AP$16="Neaktivní",0,Provozování!AQ$84)</f>
        <v>0</v>
      </c>
      <c r="T517" s="12" t="s">
        <v>352</v>
      </c>
      <c r="U517" s="13" t="s">
        <v>359</v>
      </c>
      <c r="V517" s="13" t="s">
        <v>10</v>
      </c>
      <c r="W517" s="871"/>
      <c r="X517" s="872"/>
      <c r="Y517" s="340">
        <f>Z517</f>
        <v>0</v>
      </c>
      <c r="Z517" s="340">
        <f>IF(Provozování!$AP$16="Neaktivní",G517,G517*Výpočty!$N$50+P517)</f>
        <v>0</v>
      </c>
      <c r="AA517" s="340">
        <f>AB517</f>
        <v>0</v>
      </c>
      <c r="AB517" s="341">
        <f>IF(Provozování!$AP$16="Neaktivní",H517,Q517)</f>
        <v>0</v>
      </c>
      <c r="AC517" s="146"/>
      <c r="AD517" s="146"/>
      <c r="AE517" s="146"/>
      <c r="AF517" s="146"/>
      <c r="AG517" s="146"/>
      <c r="AH517" s="146"/>
      <c r="AI517" s="146"/>
      <c r="AJ517" s="146"/>
      <c r="AK517" s="146"/>
      <c r="AL517" s="146"/>
      <c r="AM517" s="146"/>
      <c r="AN517" s="146"/>
    </row>
    <row r="518" spans="2:40" x14ac:dyDescent="0.25">
      <c r="B518" s="12" t="s">
        <v>361</v>
      </c>
      <c r="C518" s="13" t="s">
        <v>360</v>
      </c>
      <c r="D518" s="13" t="s">
        <v>10</v>
      </c>
      <c r="E518" s="884"/>
      <c r="F518" s="869"/>
      <c r="G518" s="340">
        <f>IF(YEAR(Postup!$H$25)&gt;$D$460,((-1)*(Provozování!AN102)),IF(AND(DAY(Postup!$H$25)=31,MONTH(Postup!$H$25)=12,YEAR(Postup!$H$25)=$D$460),((-1)*(Provozování!AN102)),IF(YEAR(Postup!$H$25)=$D$460,((-1)*(Provozování!AN102)),0)))</f>
        <v>0</v>
      </c>
      <c r="H518" s="341">
        <f>IF(YEAR(Postup!$H$25)&gt;$D$460,((-1)*(Provozování!AO102)),IF(AND(DAY(Postup!$H$25)=31,MONTH(Postup!$H$25)=12,YEAR(Postup!$H$25)=$D$460),((-1)*(Provozování!AO102)),IF(YEAR(Postup!$H$25)=$D$460,((-1)*(Provozování!AO102)),0)))</f>
        <v>0</v>
      </c>
      <c r="K518" s="12" t="s">
        <v>361</v>
      </c>
      <c r="L518" s="13" t="s">
        <v>360</v>
      </c>
      <c r="M518" s="13" t="s">
        <v>10</v>
      </c>
      <c r="N518" s="884"/>
      <c r="O518" s="869"/>
      <c r="P518" s="340">
        <f>IF(Provozování!$AP$16="Neaktivní",0,((-1)*(Provozování!AN102)))</f>
        <v>0</v>
      </c>
      <c r="Q518" s="341">
        <f>IF(Provozování!$AP$16="Neaktivní",0,((-1)*(Provozování!AO102)))</f>
        <v>0</v>
      </c>
      <c r="T518" s="12" t="s">
        <v>361</v>
      </c>
      <c r="U518" s="13" t="s">
        <v>360</v>
      </c>
      <c r="V518" s="13" t="s">
        <v>10</v>
      </c>
      <c r="W518" s="884"/>
      <c r="X518" s="869"/>
      <c r="Y518" s="340">
        <f>Z518</f>
        <v>0</v>
      </c>
      <c r="Z518" s="340">
        <f>IF(Provozování!$AP$16="Neaktivní",G518,P518)</f>
        <v>0</v>
      </c>
      <c r="AA518" s="340">
        <f>AB518</f>
        <v>0</v>
      </c>
      <c r="AB518" s="341">
        <f>IF(Provozování!$AP$16="Neaktivní",H518,Q518)</f>
        <v>0</v>
      </c>
      <c r="AC518" s="146"/>
      <c r="AD518" s="146"/>
      <c r="AE518" s="146"/>
      <c r="AF518" s="146"/>
      <c r="AG518" s="146"/>
      <c r="AH518" s="146"/>
      <c r="AI518" s="146"/>
      <c r="AJ518" s="146"/>
      <c r="AK518" s="146"/>
      <c r="AL518" s="146"/>
      <c r="AM518" s="146"/>
      <c r="AN518" s="146"/>
    </row>
    <row r="519" spans="2:40" x14ac:dyDescent="0.25">
      <c r="B519" s="12" t="s">
        <v>75</v>
      </c>
      <c r="C519" s="13" t="s">
        <v>396</v>
      </c>
      <c r="D519" s="13" t="s">
        <v>10</v>
      </c>
      <c r="E519" s="858" t="s">
        <v>405</v>
      </c>
      <c r="F519" s="870"/>
      <c r="G519" s="340">
        <f>F498+G516</f>
        <v>0</v>
      </c>
      <c r="H519" s="341">
        <f>H498+H516</f>
        <v>0</v>
      </c>
      <c r="K519" s="12" t="s">
        <v>75</v>
      </c>
      <c r="L519" s="13" t="s">
        <v>396</v>
      </c>
      <c r="M519" s="13" t="s">
        <v>10</v>
      </c>
      <c r="N519" s="858" t="s">
        <v>405</v>
      </c>
      <c r="O519" s="870"/>
      <c r="P519" s="340">
        <f>O498+P516</f>
        <v>0</v>
      </c>
      <c r="Q519" s="341">
        <f>Q498+Q516</f>
        <v>0</v>
      </c>
      <c r="T519" s="12" t="s">
        <v>75</v>
      </c>
      <c r="U519" s="13" t="s">
        <v>396</v>
      </c>
      <c r="V519" s="13" t="s">
        <v>10</v>
      </c>
      <c r="W519" s="858" t="s">
        <v>405</v>
      </c>
      <c r="X519" s="870"/>
      <c r="Y519" s="14">
        <f>W498+Y516</f>
        <v>0</v>
      </c>
      <c r="Z519" s="14">
        <f>X498+Z516</f>
        <v>0</v>
      </c>
      <c r="AA519" s="14">
        <f>Z498+AA516</f>
        <v>0</v>
      </c>
      <c r="AB519" s="15">
        <f>AA498+AB516</f>
        <v>0</v>
      </c>
      <c r="AC519" s="146"/>
      <c r="AD519" s="146"/>
      <c r="AE519" s="146"/>
      <c r="AF519" s="146"/>
      <c r="AG519" s="146"/>
      <c r="AH519" s="146"/>
      <c r="AI519" s="146"/>
      <c r="AJ519" s="146"/>
      <c r="AK519" s="146"/>
      <c r="AL519" s="146"/>
      <c r="AM519" s="146"/>
      <c r="AN519" s="146"/>
    </row>
    <row r="520" spans="2:40" x14ac:dyDescent="0.25">
      <c r="B520" s="12" t="s">
        <v>76</v>
      </c>
      <c r="C520" s="13" t="s">
        <v>373</v>
      </c>
      <c r="D520" s="13" t="s">
        <v>10</v>
      </c>
      <c r="E520" s="858"/>
      <c r="F520" s="859"/>
      <c r="G520" s="340">
        <f>IF(YEAR(Postup!$H$25)&gt;$D460,Provozování!AN$87,IF(AND(DAY(Postup!$H$25)=31,MONTH(Postup!$H$25)=12,YEAR(Postup!$H$25)=$D460),Provozování!AN$87,IF(YEAR(Postup!$H$25)=$D460,Provozování!$BL$87,0)))</f>
        <v>0</v>
      </c>
      <c r="H520" s="341">
        <f>IF(YEAR(Postup!$H$25)&gt;$D460,Provozování!AO$87,IF(AND(DAY(Postup!$H$25)=31,MONTH(Postup!$H$25)=12,YEAR(Postup!$H$25)=$D460),Provozování!AO$87,IF(YEAR(Postup!$H$25)=$D460,Provozování!$BM$87,0)))</f>
        <v>0</v>
      </c>
      <c r="K520" s="12" t="s">
        <v>76</v>
      </c>
      <c r="L520" s="13" t="s">
        <v>373</v>
      </c>
      <c r="M520" s="13" t="s">
        <v>10</v>
      </c>
      <c r="N520" s="858"/>
      <c r="O520" s="859"/>
      <c r="P520" s="340">
        <f>IF(Provozování!$AP$16="Neaktivní",0,Provozování!AP$87)</f>
        <v>0</v>
      </c>
      <c r="Q520" s="341">
        <f>IF(Provozování!AP$16="Neaktivní",0,Provozování!AQ$87)</f>
        <v>0</v>
      </c>
      <c r="T520" s="12" t="s">
        <v>76</v>
      </c>
      <c r="U520" s="13" t="s">
        <v>373</v>
      </c>
      <c r="V520" s="13" t="s">
        <v>10</v>
      </c>
      <c r="W520" s="858"/>
      <c r="X520" s="859"/>
      <c r="Y520" s="462">
        <f>IF(Provozování!AP16="Aktivní",Provozování!AP87,Provozování!AN87)</f>
        <v>2.3999896640999999E-2</v>
      </c>
      <c r="Z520" s="14">
        <f>IF(Provozování!$AP$16="Neaktivní",G520,G520*Výpočty!$N$50+P520)</f>
        <v>0</v>
      </c>
      <c r="AA520" s="462">
        <f>IF(Provozování!AP16="Aktivní",Provozování!AQ87,Provozování!AO87)</f>
        <v>0.100000278</v>
      </c>
      <c r="AB520" s="15">
        <f>IF(Provozování!$AP$16="Neaktivní",H520,Q520)</f>
        <v>0</v>
      </c>
      <c r="AC520" s="146"/>
      <c r="AD520" s="146"/>
      <c r="AE520" s="146"/>
      <c r="AF520" s="146"/>
      <c r="AG520" s="146"/>
      <c r="AH520" s="146"/>
      <c r="AI520" s="146"/>
      <c r="AJ520" s="146"/>
      <c r="AK520" s="146"/>
      <c r="AL520" s="146"/>
      <c r="AM520" s="146"/>
      <c r="AN520" s="146"/>
    </row>
    <row r="521" spans="2:40" ht="14.45" customHeight="1" x14ac:dyDescent="0.25">
      <c r="B521" s="12" t="s">
        <v>78</v>
      </c>
      <c r="C521" s="21" t="s">
        <v>402</v>
      </c>
      <c r="D521" s="13" t="s">
        <v>77</v>
      </c>
      <c r="E521" s="875" t="s">
        <v>406</v>
      </c>
      <c r="F521" s="1048"/>
      <c r="G521" s="137">
        <f>IF(G519=0,0,G520/G519*100)</f>
        <v>0</v>
      </c>
      <c r="H521" s="138">
        <f>IF(H519=0,0,H520/H519*100)</f>
        <v>0</v>
      </c>
      <c r="K521" s="12" t="s">
        <v>78</v>
      </c>
      <c r="L521" s="21" t="s">
        <v>402</v>
      </c>
      <c r="M521" s="13" t="s">
        <v>77</v>
      </c>
      <c r="N521" s="875" t="s">
        <v>406</v>
      </c>
      <c r="O521" s="1048"/>
      <c r="P521" s="137">
        <f>IF(P519=0,0,P520/P519*100)</f>
        <v>0</v>
      </c>
      <c r="Q521" s="138">
        <f>IF(Q519=0,0,Q520/Q519*100)</f>
        <v>0</v>
      </c>
      <c r="T521" s="12" t="s">
        <v>78</v>
      </c>
      <c r="U521" s="21" t="s">
        <v>402</v>
      </c>
      <c r="V521" s="13" t="s">
        <v>77</v>
      </c>
      <c r="W521" s="875" t="s">
        <v>406</v>
      </c>
      <c r="X521" s="1048"/>
      <c r="Y521" s="137">
        <f>IF(Y519=0,0,Y520/Y519*100)</f>
        <v>0</v>
      </c>
      <c r="Z521" s="137">
        <f>IF(Z519=0,0,Z520/Z519*100)</f>
        <v>0</v>
      </c>
      <c r="AA521" s="137">
        <f>IF(AA519=0,0,AA520/AA519*100)</f>
        <v>0</v>
      </c>
      <c r="AB521" s="138">
        <f>IF(AB519=0,0,AB520/AB519*100)</f>
        <v>0</v>
      </c>
      <c r="AC521" s="146"/>
      <c r="AD521" s="146"/>
      <c r="AE521" s="146"/>
      <c r="AF521" s="146"/>
      <c r="AG521" s="146"/>
      <c r="AH521" s="146"/>
      <c r="AI521" s="146"/>
      <c r="AJ521" s="146"/>
      <c r="AK521" s="146"/>
      <c r="AL521" s="146"/>
      <c r="AM521" s="146"/>
      <c r="AN521" s="146"/>
    </row>
    <row r="522" spans="2:40" x14ac:dyDescent="0.25">
      <c r="B522" s="12" t="s">
        <v>79</v>
      </c>
      <c r="C522" s="21" t="s">
        <v>408</v>
      </c>
      <c r="D522" s="13" t="s">
        <v>10</v>
      </c>
      <c r="E522" s="858" t="s">
        <v>407</v>
      </c>
      <c r="F522" s="870"/>
      <c r="G522" s="310">
        <v>0</v>
      </c>
      <c r="H522" s="111">
        <v>0</v>
      </c>
      <c r="K522" s="12" t="s">
        <v>79</v>
      </c>
      <c r="L522" s="21" t="s">
        <v>408</v>
      </c>
      <c r="M522" s="13" t="s">
        <v>10</v>
      </c>
      <c r="N522" s="858" t="s">
        <v>407</v>
      </c>
      <c r="O522" s="870"/>
      <c r="P522" s="310">
        <v>0</v>
      </c>
      <c r="Q522" s="111">
        <v>0</v>
      </c>
      <c r="T522" s="12" t="s">
        <v>79</v>
      </c>
      <c r="U522" s="21" t="s">
        <v>408</v>
      </c>
      <c r="V522" s="13" t="s">
        <v>10</v>
      </c>
      <c r="W522" s="858" t="s">
        <v>407</v>
      </c>
      <c r="X522" s="870"/>
      <c r="Y522" s="337">
        <v>0</v>
      </c>
      <c r="Z522" s="337">
        <v>0</v>
      </c>
      <c r="AA522" s="337">
        <v>0</v>
      </c>
      <c r="AB522" s="334">
        <v>0</v>
      </c>
      <c r="AC522" s="146"/>
      <c r="AD522" s="146"/>
      <c r="AE522" s="146"/>
      <c r="AF522" s="146"/>
      <c r="AG522" s="146"/>
      <c r="AH522" s="146"/>
      <c r="AI522" s="146"/>
      <c r="AJ522" s="146"/>
      <c r="AK522" s="146"/>
      <c r="AL522" s="146"/>
      <c r="AM522" s="146"/>
      <c r="AN522" s="146"/>
    </row>
    <row r="523" spans="2:40" x14ac:dyDescent="0.25">
      <c r="B523" s="12" t="s">
        <v>80</v>
      </c>
      <c r="C523" s="497" t="s">
        <v>354</v>
      </c>
      <c r="D523" s="13"/>
      <c r="E523" s="858" t="s">
        <v>409</v>
      </c>
      <c r="F523" s="870"/>
      <c r="G523" s="310">
        <f>G520-G522</f>
        <v>0</v>
      </c>
      <c r="H523" s="111">
        <f>H520-H522</f>
        <v>0</v>
      </c>
      <c r="K523" s="12" t="s">
        <v>80</v>
      </c>
      <c r="L523" s="497" t="s">
        <v>354</v>
      </c>
      <c r="M523" s="13"/>
      <c r="N523" s="858" t="s">
        <v>409</v>
      </c>
      <c r="O523" s="870"/>
      <c r="P523" s="310">
        <f>P520-P522</f>
        <v>0</v>
      </c>
      <c r="Q523" s="111">
        <f>Q520-Q522</f>
        <v>0</v>
      </c>
      <c r="T523" s="12" t="s">
        <v>80</v>
      </c>
      <c r="U523" s="497" t="s">
        <v>354</v>
      </c>
      <c r="V523" s="13"/>
      <c r="W523" s="858" t="s">
        <v>409</v>
      </c>
      <c r="X523" s="870"/>
      <c r="Y523" s="337">
        <f>Y520-Y522</f>
        <v>2.3999896640999999E-2</v>
      </c>
      <c r="Z523" s="337">
        <f>Z520-Z522</f>
        <v>0</v>
      </c>
      <c r="AA523" s="337">
        <f>AA520-AA522</f>
        <v>0.100000278</v>
      </c>
      <c r="AB523" s="334">
        <f>AB520-AB522</f>
        <v>0</v>
      </c>
      <c r="AC523" s="146"/>
      <c r="AD523" s="146"/>
      <c r="AE523" s="146"/>
      <c r="AF523" s="146"/>
      <c r="AG523" s="146"/>
      <c r="AH523" s="146"/>
      <c r="AI523" s="146"/>
      <c r="AJ523" s="146"/>
      <c r="AK523" s="146"/>
      <c r="AL523" s="146"/>
      <c r="AM523" s="146"/>
      <c r="AN523" s="146"/>
    </row>
    <row r="524" spans="2:40" x14ac:dyDescent="0.25">
      <c r="B524" s="12" t="s">
        <v>82</v>
      </c>
      <c r="C524" s="13" t="s">
        <v>395</v>
      </c>
      <c r="D524" s="13" t="s">
        <v>10</v>
      </c>
      <c r="E524" s="858" t="s">
        <v>410</v>
      </c>
      <c r="F524" s="870"/>
      <c r="G524" s="340">
        <f>G519+G520</f>
        <v>0</v>
      </c>
      <c r="H524" s="341">
        <f>H519+H520</f>
        <v>0</v>
      </c>
      <c r="K524" s="12" t="s">
        <v>82</v>
      </c>
      <c r="L524" s="13" t="s">
        <v>395</v>
      </c>
      <c r="M524" s="13" t="s">
        <v>10</v>
      </c>
      <c r="N524" s="858" t="s">
        <v>410</v>
      </c>
      <c r="O524" s="870"/>
      <c r="P524" s="340">
        <f>P519+P520</f>
        <v>0</v>
      </c>
      <c r="Q524" s="341">
        <f>Q519+Q520</f>
        <v>0</v>
      </c>
      <c r="T524" s="12" t="s">
        <v>82</v>
      </c>
      <c r="U524" s="13" t="s">
        <v>395</v>
      </c>
      <c r="V524" s="13" t="s">
        <v>10</v>
      </c>
      <c r="W524" s="858" t="s">
        <v>410</v>
      </c>
      <c r="X524" s="870"/>
      <c r="Y524" s="340">
        <f>Y519+Y520</f>
        <v>2.3999896640999999E-2</v>
      </c>
      <c r="Z524" s="340">
        <f>Z519+Z520</f>
        <v>0</v>
      </c>
      <c r="AA524" s="340">
        <f>AA519+AA520</f>
        <v>0.100000278</v>
      </c>
      <c r="AB524" s="341">
        <f>AB519+AB520</f>
        <v>0</v>
      </c>
      <c r="AC524" s="146"/>
      <c r="AD524" s="146"/>
      <c r="AE524" s="146"/>
      <c r="AF524" s="146"/>
      <c r="AG524" s="146"/>
      <c r="AH524" s="146"/>
      <c r="AI524" s="146"/>
      <c r="AJ524" s="146"/>
      <c r="AK524" s="146"/>
      <c r="AL524" s="146"/>
      <c r="AM524" s="146"/>
      <c r="AN524" s="146"/>
    </row>
    <row r="525" spans="2:40" x14ac:dyDescent="0.25">
      <c r="B525" s="12" t="s">
        <v>83</v>
      </c>
      <c r="C525" s="13" t="s">
        <v>81</v>
      </c>
      <c r="D525" s="13" t="s">
        <v>58</v>
      </c>
      <c r="E525" s="858" t="s">
        <v>411</v>
      </c>
      <c r="F525" s="870"/>
      <c r="G525" s="340">
        <f>IF(F502=0,F508,F502)</f>
        <v>0</v>
      </c>
      <c r="H525" s="341">
        <f>IF(H504+H506=0,H509,H504+H506)</f>
        <v>0</v>
      </c>
      <c r="K525" s="12" t="s">
        <v>83</v>
      </c>
      <c r="L525" s="13" t="s">
        <v>81</v>
      </c>
      <c r="M525" s="13" t="s">
        <v>58</v>
      </c>
      <c r="N525" s="858" t="s">
        <v>411</v>
      </c>
      <c r="O525" s="870"/>
      <c r="P525" s="340">
        <f>IF(O502=0,O508,O502)</f>
        <v>0</v>
      </c>
      <c r="Q525" s="341">
        <f>IF(Q504+Q506=0,Q509,Q504+Q506)</f>
        <v>0</v>
      </c>
      <c r="T525" s="12" t="s">
        <v>83</v>
      </c>
      <c r="U525" s="13" t="s">
        <v>81</v>
      </c>
      <c r="V525" s="13" t="s">
        <v>58</v>
      </c>
      <c r="W525" s="858" t="s">
        <v>411</v>
      </c>
      <c r="X525" s="870"/>
      <c r="Y525" s="14">
        <f>IF(W502=0,W508,W502)</f>
        <v>0</v>
      </c>
      <c r="Z525" s="14">
        <f>IF(X502=0,X508,X502)</f>
        <v>0</v>
      </c>
      <c r="AA525" s="14">
        <f>IF(Z504+Z506=0,Z509,Z504+Z506)</f>
        <v>0</v>
      </c>
      <c r="AB525" s="15">
        <f>IF(AA504+AA506=0,AA509,AA504+AA506)</f>
        <v>0</v>
      </c>
      <c r="AC525" s="146"/>
      <c r="AD525" s="146"/>
      <c r="AE525" s="146"/>
      <c r="AF525" s="146"/>
      <c r="AG525" s="146"/>
      <c r="AH525" s="146"/>
      <c r="AI525" s="146"/>
      <c r="AJ525" s="146"/>
      <c r="AK525" s="146"/>
      <c r="AL525" s="146"/>
      <c r="AM525" s="146"/>
      <c r="AN525" s="146"/>
    </row>
    <row r="526" spans="2:40" x14ac:dyDescent="0.25">
      <c r="B526" s="12" t="s">
        <v>155</v>
      </c>
      <c r="C526" s="13" t="s">
        <v>393</v>
      </c>
      <c r="D526" s="13" t="s">
        <v>73</v>
      </c>
      <c r="E526" s="858" t="s">
        <v>412</v>
      </c>
      <c r="F526" s="870"/>
      <c r="G526" s="137">
        <f>IF(G525=0,0,G524/G525)</f>
        <v>0</v>
      </c>
      <c r="H526" s="138">
        <f>IF(H525=0,0,H524/H525)</f>
        <v>0</v>
      </c>
      <c r="K526" s="12" t="s">
        <v>155</v>
      </c>
      <c r="L526" s="13" t="s">
        <v>393</v>
      </c>
      <c r="M526" s="13" t="s">
        <v>73</v>
      </c>
      <c r="N526" s="858" t="s">
        <v>412</v>
      </c>
      <c r="O526" s="870"/>
      <c r="P526" s="137">
        <f>IF(P525=0,0,P524/P525)</f>
        <v>0</v>
      </c>
      <c r="Q526" s="138">
        <f>IF(Q525=0,0,Q524/Q525)</f>
        <v>0</v>
      </c>
      <c r="T526" s="12" t="s">
        <v>155</v>
      </c>
      <c r="U526" s="13" t="s">
        <v>393</v>
      </c>
      <c r="V526" s="13" t="s">
        <v>73</v>
      </c>
      <c r="W526" s="858" t="s">
        <v>412</v>
      </c>
      <c r="X526" s="870"/>
      <c r="Y526" s="137">
        <f>IF(Y525=0,0,Y524/Y525)</f>
        <v>0</v>
      </c>
      <c r="Z526" s="137">
        <f>IF(Z525=0,0,Z524/Z525)</f>
        <v>0</v>
      </c>
      <c r="AA526" s="137">
        <f>IF(AA525=0,0,AA524/AA525)</f>
        <v>0</v>
      </c>
      <c r="AB526" s="138">
        <f>IF(AB525=0,0,AB524/AB525)</f>
        <v>0</v>
      </c>
      <c r="AC526" s="146"/>
      <c r="AD526" s="146"/>
      <c r="AE526" s="146"/>
      <c r="AF526" s="146"/>
      <c r="AG526" s="146"/>
      <c r="AH526" s="146"/>
      <c r="AI526" s="146"/>
      <c r="AJ526" s="146"/>
      <c r="AK526" s="146"/>
      <c r="AL526" s="146"/>
      <c r="AM526" s="146"/>
      <c r="AN526" s="146"/>
    </row>
    <row r="527" spans="2:40" x14ac:dyDescent="0.25">
      <c r="B527" s="210" t="s">
        <v>355</v>
      </c>
      <c r="C527" s="244" t="str">
        <f>CONCATENATE("UPLATŇOVANÁ CENA pro vodné, stočné +",Provozování!AN97*100,"% DPH")</f>
        <v>UPLATŇOVANÁ CENA pro vodné, stočné +10% DPH</v>
      </c>
      <c r="D527" s="244" t="s">
        <v>73</v>
      </c>
      <c r="E527" s="858" t="s">
        <v>413</v>
      </c>
      <c r="F527" s="870"/>
      <c r="G527" s="138">
        <f>G526*(1+Provozování!AN$97)</f>
        <v>0</v>
      </c>
      <c r="H527" s="138">
        <f>H526*(1+Provozování!AO$97)</f>
        <v>0</v>
      </c>
      <c r="K527" s="210" t="s">
        <v>355</v>
      </c>
      <c r="L527" s="244" t="str">
        <f>C527</f>
        <v>UPLATŇOVANÁ CENA pro vodné, stočné +10% DPH</v>
      </c>
      <c r="M527" s="244" t="s">
        <v>73</v>
      </c>
      <c r="N527" s="858" t="s">
        <v>413</v>
      </c>
      <c r="O527" s="870"/>
      <c r="P527" s="138">
        <f>P526*(1+Provozování!AN$97)</f>
        <v>0</v>
      </c>
      <c r="Q527" s="138">
        <f>Q526*(1+Provozování!AO$97)</f>
        <v>0</v>
      </c>
      <c r="T527" s="12" t="s">
        <v>355</v>
      </c>
      <c r="U527" s="13" t="str">
        <f>C527</f>
        <v>UPLATŇOVANÁ CENA pro vodné, stočné +10% DPH</v>
      </c>
      <c r="V527" s="13" t="s">
        <v>73</v>
      </c>
      <c r="W527" s="858" t="s">
        <v>413</v>
      </c>
      <c r="X527" s="870"/>
      <c r="Y527" s="137">
        <f>Y526*(1+Provozování!AN$97)</f>
        <v>0</v>
      </c>
      <c r="Z527" s="137">
        <f>Z526*(1+Provozování!AO$97)</f>
        <v>0</v>
      </c>
      <c r="AA527" s="137">
        <f>AA526*(1+Provozování!AN$97)</f>
        <v>0</v>
      </c>
      <c r="AB527" s="138">
        <f>AB526*(1+Provozování!AO$97)</f>
        <v>0</v>
      </c>
      <c r="AC527" s="146"/>
      <c r="AD527" s="146"/>
      <c r="AE527" s="146"/>
      <c r="AF527" s="146"/>
      <c r="AG527" s="146"/>
      <c r="AH527" s="146"/>
      <c r="AI527" s="146"/>
      <c r="AJ527" s="146"/>
      <c r="AK527" s="146"/>
      <c r="AL527" s="146"/>
      <c r="AM527" s="146"/>
      <c r="AN527" s="146"/>
    </row>
    <row r="528" spans="2:40" x14ac:dyDescent="0.25">
      <c r="B528" s="210" t="s">
        <v>356</v>
      </c>
      <c r="C528" s="244" t="s">
        <v>357</v>
      </c>
      <c r="D528" s="244" t="s">
        <v>73</v>
      </c>
      <c r="E528" s="884" t="s">
        <v>414</v>
      </c>
      <c r="F528" s="869"/>
      <c r="G528" s="138">
        <v>0</v>
      </c>
      <c r="H528" s="138">
        <v>0</v>
      </c>
      <c r="K528" s="210" t="s">
        <v>356</v>
      </c>
      <c r="L528" s="244" t="s">
        <v>357</v>
      </c>
      <c r="M528" s="244" t="s">
        <v>73</v>
      </c>
      <c r="N528" s="884" t="s">
        <v>414</v>
      </c>
      <c r="O528" s="869"/>
      <c r="P528" s="138">
        <v>0</v>
      </c>
      <c r="Q528" s="138">
        <v>0</v>
      </c>
      <c r="T528" s="528" t="s">
        <v>356</v>
      </c>
      <c r="U528" s="2" t="s">
        <v>357</v>
      </c>
      <c r="V528" s="2" t="s">
        <v>73</v>
      </c>
      <c r="W528" s="884" t="s">
        <v>414</v>
      </c>
      <c r="X528" s="869"/>
      <c r="Y528" s="529">
        <v>0</v>
      </c>
      <c r="Z528" s="529">
        <v>0</v>
      </c>
      <c r="AA528" s="529">
        <v>0</v>
      </c>
      <c r="AB528" s="530">
        <v>0</v>
      </c>
      <c r="AC528" s="146"/>
      <c r="AD528" s="146"/>
      <c r="AE528" s="146"/>
      <c r="AF528" s="146"/>
      <c r="AG528" s="146"/>
      <c r="AH528" s="146"/>
      <c r="AI528" s="146"/>
      <c r="AJ528" s="146"/>
      <c r="AK528" s="146"/>
      <c r="AL528" s="146"/>
      <c r="AM528" s="146"/>
      <c r="AN528" s="146"/>
    </row>
    <row r="529" spans="1:40" ht="19.5" x14ac:dyDescent="0.25">
      <c r="T529" s="1089" t="s">
        <v>364</v>
      </c>
      <c r="U529" s="1089" t="s">
        <v>154</v>
      </c>
      <c r="V529" s="882" t="s">
        <v>10</v>
      </c>
      <c r="W529" s="854" t="s">
        <v>156</v>
      </c>
      <c r="X529" s="858"/>
      <c r="Y529" s="89" t="s">
        <v>158</v>
      </c>
      <c r="Z529" s="92" t="s">
        <v>159</v>
      </c>
      <c r="AA529" s="89" t="s">
        <v>158</v>
      </c>
      <c r="AB529" s="92" t="s">
        <v>159</v>
      </c>
      <c r="AC529" s="146"/>
      <c r="AD529" s="146"/>
      <c r="AE529" s="146"/>
      <c r="AF529" s="146"/>
      <c r="AG529" s="146"/>
      <c r="AH529" s="146"/>
      <c r="AI529" s="146"/>
      <c r="AJ529" s="146"/>
      <c r="AK529" s="146"/>
      <c r="AL529" s="146"/>
      <c r="AM529" s="146"/>
      <c r="AN529" s="146"/>
    </row>
    <row r="530" spans="1:40" x14ac:dyDescent="0.25">
      <c r="B530" s="383" t="s">
        <v>283</v>
      </c>
      <c r="T530" s="1090"/>
      <c r="U530" s="1090"/>
      <c r="V530" s="1092"/>
      <c r="W530" s="1093">
        <v>0</v>
      </c>
      <c r="X530" s="1094"/>
      <c r="Y530" s="90">
        <f>W460</f>
        <v>2030</v>
      </c>
      <c r="Z530" s="90">
        <f>W460</f>
        <v>2030</v>
      </c>
      <c r="AA530" s="90">
        <f>W460</f>
        <v>2030</v>
      </c>
      <c r="AB530" s="90">
        <f>W460</f>
        <v>2030</v>
      </c>
      <c r="AC530" s="146"/>
      <c r="AD530" s="146"/>
      <c r="AE530" s="146"/>
      <c r="AF530" s="146"/>
      <c r="AG530" s="146"/>
      <c r="AH530" s="146"/>
      <c r="AI530" s="146"/>
      <c r="AJ530" s="146"/>
      <c r="AK530" s="146"/>
      <c r="AL530" s="146"/>
      <c r="AM530" s="146"/>
      <c r="AN530" s="146"/>
    </row>
    <row r="531" spans="1:40" x14ac:dyDescent="0.25">
      <c r="B531" s="383" t="s">
        <v>284</v>
      </c>
      <c r="T531" s="1090"/>
      <c r="U531" s="1090"/>
      <c r="V531" s="1092"/>
      <c r="W531" s="854" t="s">
        <v>157</v>
      </c>
      <c r="X531" s="858"/>
      <c r="Y531" s="91" t="s">
        <v>160</v>
      </c>
      <c r="Z531" s="91" t="s">
        <v>160</v>
      </c>
      <c r="AA531" s="91" t="s">
        <v>161</v>
      </c>
      <c r="AB531" s="91" t="s">
        <v>161</v>
      </c>
      <c r="AC531" s="146"/>
      <c r="AD531" s="146"/>
      <c r="AE531" s="146"/>
      <c r="AF531" s="146"/>
      <c r="AG531" s="146"/>
      <c r="AH531" s="146"/>
      <c r="AI531" s="146"/>
      <c r="AJ531" s="146"/>
      <c r="AK531" s="146"/>
      <c r="AL531" s="146"/>
      <c r="AM531" s="146"/>
      <c r="AN531" s="146"/>
    </row>
    <row r="532" spans="1:40" x14ac:dyDescent="0.25">
      <c r="T532" s="1091"/>
      <c r="U532" s="1091"/>
      <c r="V532" s="883"/>
      <c r="W532" s="1095">
        <v>0</v>
      </c>
      <c r="X532" s="1093"/>
      <c r="Y532" s="464">
        <v>0</v>
      </c>
      <c r="Z532" s="464">
        <v>0</v>
      </c>
      <c r="AA532" s="464">
        <v>0</v>
      </c>
      <c r="AB532" s="464">
        <v>0</v>
      </c>
      <c r="AC532" s="146"/>
      <c r="AD532" s="146"/>
      <c r="AE532" s="146"/>
      <c r="AF532" s="146"/>
      <c r="AG532" s="146"/>
      <c r="AH532" s="146"/>
      <c r="AI532" s="146"/>
      <c r="AJ532" s="146"/>
      <c r="AK532" s="146"/>
      <c r="AL532" s="146"/>
      <c r="AM532" s="146"/>
      <c r="AN532" s="146"/>
    </row>
    <row r="533" spans="1:40" x14ac:dyDescent="0.25">
      <c r="A533" s="252"/>
      <c r="B533" s="29"/>
      <c r="C533" s="29"/>
      <c r="D533" s="29"/>
      <c r="E533" s="29"/>
      <c r="F533" s="29"/>
      <c r="G533" s="29"/>
      <c r="H533" s="29"/>
      <c r="I533" s="29"/>
      <c r="J533" s="29"/>
      <c r="K533" s="29"/>
      <c r="L533" s="29"/>
      <c r="M533" s="29"/>
      <c r="N533" s="29"/>
      <c r="O533" s="29"/>
      <c r="P533" s="29"/>
      <c r="Q533" s="29"/>
      <c r="R533" s="29"/>
      <c r="AC533" s="146"/>
      <c r="AD533" s="146"/>
      <c r="AE533" s="146"/>
      <c r="AF533" s="146"/>
      <c r="AG533" s="338"/>
      <c r="AH533" s="338"/>
    </row>
    <row r="534" spans="1:40" x14ac:dyDescent="0.25">
      <c r="B534" s="899" t="s">
        <v>316</v>
      </c>
      <c r="C534" s="900"/>
      <c r="D534" s="900"/>
      <c r="E534" s="900"/>
      <c r="F534" s="900"/>
      <c r="G534" s="900"/>
      <c r="H534" s="900"/>
      <c r="K534" s="899" t="s">
        <v>317</v>
      </c>
      <c r="L534" s="900"/>
      <c r="M534" s="900"/>
      <c r="N534" s="900"/>
      <c r="O534" s="900"/>
      <c r="P534" s="900"/>
      <c r="Q534" s="900"/>
      <c r="T534" s="899" t="s">
        <v>162</v>
      </c>
      <c r="U534" s="900"/>
      <c r="V534" s="900"/>
      <c r="W534" s="900"/>
      <c r="X534" s="900"/>
      <c r="Y534" s="900"/>
      <c r="Z534" s="900"/>
      <c r="AA534" s="900"/>
      <c r="AB534" s="900"/>
      <c r="AC534" s="146"/>
      <c r="AD534" s="146"/>
      <c r="AK534" s="146"/>
      <c r="AL534" s="146"/>
      <c r="AM534" s="146"/>
      <c r="AN534" s="146"/>
    </row>
    <row r="535" spans="1:40" x14ac:dyDescent="0.25">
      <c r="C535" s="272"/>
      <c r="E535" s="25"/>
      <c r="F535" s="25"/>
      <c r="L535" s="25"/>
      <c r="N535" s="25"/>
      <c r="T535" s="1079" t="s">
        <v>318</v>
      </c>
      <c r="U535" s="1079"/>
      <c r="V535" s="1079"/>
      <c r="W535" s="1079"/>
      <c r="X535" s="1079"/>
      <c r="Y535" s="1079"/>
      <c r="Z535" s="1079"/>
      <c r="AA535" s="1079"/>
      <c r="AB535" s="1079"/>
      <c r="AC535" s="146"/>
      <c r="AD535" s="146"/>
      <c r="AK535" s="146"/>
      <c r="AL535" s="146"/>
      <c r="AM535" s="146"/>
      <c r="AN535" s="146"/>
    </row>
    <row r="536" spans="1:40" x14ac:dyDescent="0.25">
      <c r="C536" s="272" t="s">
        <v>103</v>
      </c>
      <c r="D536" s="274">
        <f>D460+1</f>
        <v>2031</v>
      </c>
      <c r="E536" s="25"/>
      <c r="F536" s="272" t="s">
        <v>221</v>
      </c>
      <c r="G536" s="275" t="str">
        <f>Výpočty!O$48</f>
        <v>-</v>
      </c>
      <c r="H536" s="275" t="str">
        <f>IF(Výpočty!O$49="-"," ",CONCATENATE("- ",DAY(Výpočty!O$49),".",MONTH(Výpočty!O$49),".",D536))</f>
        <v xml:space="preserve"> </v>
      </c>
      <c r="L536" s="272" t="s">
        <v>103</v>
      </c>
      <c r="M536" s="274">
        <f>D536</f>
        <v>2031</v>
      </c>
      <c r="O536" s="272" t="s">
        <v>221</v>
      </c>
      <c r="P536" s="360" t="str">
        <f>Výpočty!O$44</f>
        <v>-</v>
      </c>
      <c r="Q536" s="360" t="str">
        <f>IF(P536="-"," ",H536)</f>
        <v xml:space="preserve"> </v>
      </c>
      <c r="T536" s="333"/>
      <c r="U536" s="333"/>
      <c r="V536" s="342" t="s">
        <v>147</v>
      </c>
      <c r="W536" s="274">
        <f>D536</f>
        <v>2031</v>
      </c>
      <c r="Z536" s="272" t="s">
        <v>221</v>
      </c>
      <c r="AA536" s="275" t="str">
        <f>G536</f>
        <v>-</v>
      </c>
      <c r="AB536" s="275" t="str">
        <f>H536</f>
        <v xml:space="preserve"> </v>
      </c>
      <c r="AC536" s="146"/>
      <c r="AD536" s="146"/>
      <c r="AK536" s="146"/>
      <c r="AL536" s="146"/>
      <c r="AM536" s="146"/>
      <c r="AN536" s="146"/>
    </row>
    <row r="537" spans="1:40" x14ac:dyDescent="0.25">
      <c r="B537" s="13" t="s">
        <v>66</v>
      </c>
      <c r="C537" s="13" t="s">
        <v>89</v>
      </c>
      <c r="D537" s="902" t="str">
        <f t="shared" ref="D537:D542" si="57">D461</f>
        <v>PRVOK s.r.o., IČ 281 28 257</v>
      </c>
      <c r="E537" s="903"/>
      <c r="F537" s="903"/>
      <c r="G537" s="903"/>
      <c r="H537" s="904"/>
      <c r="K537" s="13" t="s">
        <v>66</v>
      </c>
      <c r="L537" s="13" t="s">
        <v>89</v>
      </c>
      <c r="M537" s="1080" t="str">
        <f>D537</f>
        <v>PRVOK s.r.o., IČ 281 28 257</v>
      </c>
      <c r="N537" s="1081"/>
      <c r="O537" s="1081"/>
      <c r="P537" s="1081"/>
      <c r="Q537" s="1081"/>
      <c r="T537" s="13" t="s">
        <v>66</v>
      </c>
      <c r="U537" s="13" t="s">
        <v>89</v>
      </c>
      <c r="V537" s="1080" t="str">
        <f>D537</f>
        <v>PRVOK s.r.o., IČ 281 28 257</v>
      </c>
      <c r="W537" s="1081"/>
      <c r="X537" s="1081"/>
      <c r="Y537" s="1081"/>
      <c r="Z537" s="1081"/>
      <c r="AA537" s="1081"/>
      <c r="AB537" s="1081"/>
      <c r="AC537" s="146"/>
      <c r="AD537" s="146"/>
      <c r="AK537" s="146"/>
      <c r="AL537" s="146"/>
      <c r="AM537" s="146"/>
      <c r="AN537" s="146"/>
    </row>
    <row r="538" spans="1:40" x14ac:dyDescent="0.25">
      <c r="B538" s="13" t="s">
        <v>84</v>
      </c>
      <c r="C538" s="13" t="s">
        <v>90</v>
      </c>
      <c r="D538" s="902" t="str">
        <f t="shared" si="57"/>
        <v>PRVOK s.r.o., IČ 281 28 257</v>
      </c>
      <c r="E538" s="903"/>
      <c r="F538" s="903"/>
      <c r="G538" s="903"/>
      <c r="H538" s="904"/>
      <c r="K538" s="13" t="s">
        <v>84</v>
      </c>
      <c r="L538" s="13" t="s">
        <v>90</v>
      </c>
      <c r="M538" s="1061" t="str">
        <f>D538</f>
        <v>PRVOK s.r.o., IČ 281 28 257</v>
      </c>
      <c r="N538" s="1062"/>
      <c r="O538" s="1062"/>
      <c r="P538" s="1062"/>
      <c r="Q538" s="1063"/>
      <c r="T538" s="13" t="s">
        <v>84</v>
      </c>
      <c r="U538" s="13" t="s">
        <v>90</v>
      </c>
      <c r="V538" s="1061" t="str">
        <f>D538</f>
        <v>PRVOK s.r.o., IČ 281 28 257</v>
      </c>
      <c r="W538" s="1062"/>
      <c r="X538" s="1062"/>
      <c r="Y538" s="1062"/>
      <c r="Z538" s="1062"/>
      <c r="AA538" s="1062"/>
      <c r="AB538" s="1063"/>
      <c r="AC538" s="146"/>
      <c r="AD538" s="146"/>
      <c r="AK538" s="146"/>
      <c r="AL538" s="146"/>
      <c r="AM538" s="146"/>
      <c r="AN538" s="146"/>
    </row>
    <row r="539" spans="1:40" x14ac:dyDescent="0.25">
      <c r="B539" s="13" t="s">
        <v>85</v>
      </c>
      <c r="C539" s="13" t="s">
        <v>91</v>
      </c>
      <c r="D539" s="902" t="str">
        <f t="shared" si="57"/>
        <v>Obec Benešov nad Černou, IČ 00245780</v>
      </c>
      <c r="E539" s="903"/>
      <c r="F539" s="903"/>
      <c r="G539" s="903"/>
      <c r="H539" s="904"/>
      <c r="K539" s="13" t="s">
        <v>85</v>
      </c>
      <c r="L539" s="13" t="s">
        <v>91</v>
      </c>
      <c r="M539" s="1061" t="str">
        <f>D539</f>
        <v>Obec Benešov nad Černou, IČ 00245780</v>
      </c>
      <c r="N539" s="1062"/>
      <c r="O539" s="1062"/>
      <c r="P539" s="1062"/>
      <c r="Q539" s="1063"/>
      <c r="T539" s="13" t="s">
        <v>85</v>
      </c>
      <c r="U539" s="13" t="s">
        <v>91</v>
      </c>
      <c r="V539" s="1061" t="str">
        <f>D539</f>
        <v>Obec Benešov nad Černou, IČ 00245780</v>
      </c>
      <c r="W539" s="1062"/>
      <c r="X539" s="1062"/>
      <c r="Y539" s="1062"/>
      <c r="Z539" s="1062"/>
      <c r="AA539" s="1062"/>
      <c r="AB539" s="1063"/>
      <c r="AC539" s="146"/>
      <c r="AD539" s="146"/>
      <c r="AK539" s="146"/>
      <c r="AL539" s="146"/>
      <c r="AM539" s="146"/>
      <c r="AN539" s="146"/>
    </row>
    <row r="540" spans="1:40" x14ac:dyDescent="0.25">
      <c r="B540" s="13" t="s">
        <v>86</v>
      </c>
      <c r="C540" s="13" t="s">
        <v>93</v>
      </c>
      <c r="D540" s="1055" t="str">
        <f t="shared" si="57"/>
        <v>A</v>
      </c>
      <c r="E540" s="1056"/>
      <c r="F540" s="1056"/>
      <c r="G540" s="1056"/>
      <c r="H540" s="1057"/>
      <c r="K540" s="13" t="s">
        <v>86</v>
      </c>
      <c r="L540" s="13" t="s">
        <v>93</v>
      </c>
      <c r="M540" s="1058" t="str">
        <f>IF($D540="[vyplnit]"," ",$D540)</f>
        <v>A</v>
      </c>
      <c r="N540" s="1059"/>
      <c r="O540" s="1059"/>
      <c r="P540" s="1059"/>
      <c r="Q540" s="1060"/>
      <c r="T540" s="13" t="s">
        <v>86</v>
      </c>
      <c r="U540" s="13" t="s">
        <v>93</v>
      </c>
      <c r="V540" s="1064" t="str">
        <f>IF($D540="[vyplnit]"," ",$D540)</f>
        <v>A</v>
      </c>
      <c r="W540" s="1064"/>
      <c r="X540" s="1064"/>
      <c r="Y540" s="1064"/>
      <c r="Z540" s="1064"/>
      <c r="AA540" s="1064"/>
      <c r="AB540" s="1064"/>
      <c r="AC540" s="146"/>
      <c r="AD540" s="146"/>
      <c r="AK540" s="146"/>
      <c r="AL540" s="146"/>
      <c r="AM540" s="146"/>
      <c r="AN540" s="146"/>
    </row>
    <row r="541" spans="1:40" x14ac:dyDescent="0.25">
      <c r="B541" s="13" t="s">
        <v>87</v>
      </c>
      <c r="C541" s="13" t="s">
        <v>92</v>
      </c>
      <c r="D541" s="1055">
        <f t="shared" si="57"/>
        <v>1</v>
      </c>
      <c r="E541" s="1056"/>
      <c r="F541" s="1056"/>
      <c r="G541" s="1056"/>
      <c r="H541" s="1057"/>
      <c r="K541" s="13" t="s">
        <v>87</v>
      </c>
      <c r="L541" s="13" t="s">
        <v>92</v>
      </c>
      <c r="M541" s="1058">
        <f>IF($D541="[vyplnit]"," ",$D541)</f>
        <v>1</v>
      </c>
      <c r="N541" s="1059"/>
      <c r="O541" s="1059"/>
      <c r="P541" s="1059"/>
      <c r="Q541" s="1060"/>
      <c r="T541" s="13" t="s">
        <v>87</v>
      </c>
      <c r="U541" s="13" t="s">
        <v>92</v>
      </c>
      <c r="V541" s="1064">
        <f>IF($D541="[vyplnit]"," ",$D541)</f>
        <v>1</v>
      </c>
      <c r="W541" s="1064"/>
      <c r="X541" s="1064"/>
      <c r="Y541" s="1064"/>
      <c r="Z541" s="1064"/>
      <c r="AA541" s="1064"/>
      <c r="AB541" s="1064"/>
      <c r="AC541" s="146"/>
      <c r="AD541" s="146"/>
      <c r="AK541" s="146"/>
      <c r="AL541" s="146"/>
      <c r="AM541" s="146"/>
      <c r="AN541" s="146"/>
    </row>
    <row r="542" spans="1:40" x14ac:dyDescent="0.25">
      <c r="B542" s="13" t="s">
        <v>88</v>
      </c>
      <c r="C542" s="13" t="s">
        <v>94</v>
      </c>
      <c r="D542" s="1055" t="str">
        <f t="shared" si="57"/>
        <v>[vyplnit]</v>
      </c>
      <c r="E542" s="1056"/>
      <c r="F542" s="1056"/>
      <c r="G542" s="1056"/>
      <c r="H542" s="1057"/>
      <c r="K542" s="13" t="s">
        <v>88</v>
      </c>
      <c r="L542" s="13" t="s">
        <v>94</v>
      </c>
      <c r="M542" s="1058" t="str">
        <f>IF($D542="[vyplnit]"," ",$D542)</f>
        <v xml:space="preserve"> </v>
      </c>
      <c r="N542" s="1059"/>
      <c r="O542" s="1059"/>
      <c r="P542" s="1059"/>
      <c r="Q542" s="1060"/>
      <c r="T542" s="13" t="s">
        <v>88</v>
      </c>
      <c r="U542" s="13" t="s">
        <v>94</v>
      </c>
      <c r="V542" s="1064" t="str">
        <f>IF($D542="[vyplnit]"," ",$D542)</f>
        <v xml:space="preserve"> </v>
      </c>
      <c r="W542" s="1064"/>
      <c r="X542" s="1064"/>
      <c r="Y542" s="1064"/>
      <c r="Z542" s="1064"/>
      <c r="AA542" s="1064"/>
      <c r="AB542" s="1064"/>
      <c r="AC542" s="146"/>
      <c r="AD542" s="146"/>
      <c r="AK542" s="146"/>
      <c r="AL542" s="146"/>
      <c r="AM542" s="146"/>
      <c r="AN542" s="146"/>
    </row>
    <row r="543" spans="1:40" x14ac:dyDescent="0.25">
      <c r="AC543" s="146"/>
      <c r="AK543" s="146"/>
      <c r="AL543" s="146"/>
      <c r="AM543" s="146"/>
      <c r="AN543" s="146"/>
    </row>
    <row r="544" spans="1:40" x14ac:dyDescent="0.25">
      <c r="B544" s="1052" t="s">
        <v>5</v>
      </c>
      <c r="C544" s="884" t="s">
        <v>0</v>
      </c>
      <c r="D544" s="868"/>
      <c r="E544" s="868"/>
      <c r="F544" s="868"/>
      <c r="G544" s="868"/>
      <c r="H544" s="869"/>
      <c r="K544" s="1052" t="s">
        <v>5</v>
      </c>
      <c r="L544" s="884" t="s">
        <v>0</v>
      </c>
      <c r="M544" s="868"/>
      <c r="N544" s="868"/>
      <c r="O544" s="868"/>
      <c r="P544" s="868"/>
      <c r="Q544" s="869"/>
      <c r="T544" s="1052" t="s">
        <v>5</v>
      </c>
      <c r="U544" s="884" t="s">
        <v>0</v>
      </c>
      <c r="V544" s="868"/>
      <c r="W544" s="868"/>
      <c r="X544" s="868"/>
      <c r="Y544" s="868"/>
      <c r="Z544" s="868"/>
      <c r="AA544" s="868"/>
      <c r="AB544" s="869"/>
      <c r="AC544" s="146"/>
      <c r="AK544" s="146"/>
      <c r="AL544" s="146"/>
      <c r="AM544" s="146"/>
      <c r="AN544" s="146"/>
    </row>
    <row r="545" spans="2:40" x14ac:dyDescent="0.25">
      <c r="B545" s="1053"/>
      <c r="C545" s="1052" t="s">
        <v>1</v>
      </c>
      <c r="D545" s="1065" t="s">
        <v>133</v>
      </c>
      <c r="E545" s="884" t="s">
        <v>3</v>
      </c>
      <c r="F545" s="868"/>
      <c r="G545" s="884" t="s">
        <v>4</v>
      </c>
      <c r="H545" s="869"/>
      <c r="K545" s="1053"/>
      <c r="L545" s="1052" t="s">
        <v>1</v>
      </c>
      <c r="M545" s="1065" t="s">
        <v>133</v>
      </c>
      <c r="N545" s="884" t="s">
        <v>3</v>
      </c>
      <c r="O545" s="868"/>
      <c r="P545" s="884" t="s">
        <v>4</v>
      </c>
      <c r="Q545" s="869"/>
      <c r="T545" s="1053"/>
      <c r="U545" s="1052" t="s">
        <v>1</v>
      </c>
      <c r="V545" s="1065" t="s">
        <v>133</v>
      </c>
      <c r="W545" s="884" t="s">
        <v>3</v>
      </c>
      <c r="X545" s="868"/>
      <c r="Y545" s="868"/>
      <c r="Z545" s="884" t="s">
        <v>4</v>
      </c>
      <c r="AA545" s="868"/>
      <c r="AB545" s="869"/>
      <c r="AC545" s="146"/>
      <c r="AK545" s="146"/>
      <c r="AL545" s="146"/>
      <c r="AM545" s="146"/>
      <c r="AN545" s="146"/>
    </row>
    <row r="546" spans="2:40" x14ac:dyDescent="0.25">
      <c r="B546" s="1053"/>
      <c r="C546" s="1053"/>
      <c r="D546" s="1053"/>
      <c r="E546" s="28">
        <f>D536-1</f>
        <v>2030</v>
      </c>
      <c r="F546" s="28">
        <f>D536</f>
        <v>2031</v>
      </c>
      <c r="G546" s="28">
        <f>D536-1</f>
        <v>2030</v>
      </c>
      <c r="H546" s="28">
        <f>D536</f>
        <v>2031</v>
      </c>
      <c r="K546" s="1053"/>
      <c r="L546" s="1053"/>
      <c r="M546" s="1053"/>
      <c r="N546" s="28">
        <f>M536-1</f>
        <v>2030</v>
      </c>
      <c r="O546" s="28">
        <f>M536</f>
        <v>2031</v>
      </c>
      <c r="P546" s="28">
        <f>M536-1</f>
        <v>2030</v>
      </c>
      <c r="Q546" s="28">
        <f>M536</f>
        <v>2031</v>
      </c>
      <c r="T546" s="1053"/>
      <c r="U546" s="1053"/>
      <c r="V546" s="1053"/>
      <c r="W546" s="28">
        <f>W536</f>
        <v>2031</v>
      </c>
      <c r="X546" s="28">
        <f>W536</f>
        <v>2031</v>
      </c>
      <c r="Y546" s="28">
        <f>W536</f>
        <v>2031</v>
      </c>
      <c r="Z546" s="28">
        <f>W536</f>
        <v>2031</v>
      </c>
      <c r="AA546" s="28">
        <f>W536</f>
        <v>2031</v>
      </c>
      <c r="AB546" s="28">
        <f>W536</f>
        <v>2031</v>
      </c>
      <c r="AC546" s="146"/>
      <c r="AK546" s="146"/>
      <c r="AL546" s="146"/>
      <c r="AM546" s="146"/>
      <c r="AN546" s="146"/>
    </row>
    <row r="547" spans="2:40" x14ac:dyDescent="0.25">
      <c r="B547" s="1054"/>
      <c r="C547" s="1054"/>
      <c r="D547" s="1054"/>
      <c r="E547" s="7" t="s">
        <v>151</v>
      </c>
      <c r="F547" s="7" t="s">
        <v>98</v>
      </c>
      <c r="G547" s="7" t="s">
        <v>151</v>
      </c>
      <c r="H547" s="19" t="s">
        <v>98</v>
      </c>
      <c r="K547" s="1054"/>
      <c r="L547" s="1054"/>
      <c r="M547" s="1054"/>
      <c r="N547" s="7" t="s">
        <v>151</v>
      </c>
      <c r="O547" s="7" t="s">
        <v>98</v>
      </c>
      <c r="P547" s="7" t="s">
        <v>151</v>
      </c>
      <c r="Q547" s="19" t="s">
        <v>98</v>
      </c>
      <c r="T547" s="1054"/>
      <c r="U547" s="1054"/>
      <c r="V547" s="1054"/>
      <c r="W547" s="7" t="s">
        <v>150</v>
      </c>
      <c r="X547" s="7" t="s">
        <v>98</v>
      </c>
      <c r="Y547" s="7" t="s">
        <v>149</v>
      </c>
      <c r="Z547" s="7" t="s">
        <v>150</v>
      </c>
      <c r="AA547" s="7" t="s">
        <v>98</v>
      </c>
      <c r="AB547" s="19" t="s">
        <v>149</v>
      </c>
      <c r="AC547" s="146"/>
      <c r="AK547" s="146"/>
      <c r="AL547" s="146"/>
      <c r="AM547" s="146"/>
      <c r="AN547" s="146"/>
    </row>
    <row r="548" spans="2:40" x14ac:dyDescent="0.25">
      <c r="B548" s="11">
        <v>1</v>
      </c>
      <c r="C548" s="11">
        <v>2</v>
      </c>
      <c r="D548" s="11" t="s">
        <v>95</v>
      </c>
      <c r="E548" s="11">
        <v>3</v>
      </c>
      <c r="F548" s="11">
        <v>4</v>
      </c>
      <c r="G548" s="11">
        <v>6</v>
      </c>
      <c r="H548" s="22">
        <v>7</v>
      </c>
      <c r="K548" s="11">
        <v>1</v>
      </c>
      <c r="L548" s="11">
        <v>2</v>
      </c>
      <c r="M548" s="11" t="s">
        <v>95</v>
      </c>
      <c r="N548" s="11">
        <v>3</v>
      </c>
      <c r="O548" s="11">
        <v>4</v>
      </c>
      <c r="P548" s="11">
        <v>6</v>
      </c>
      <c r="Q548" s="22">
        <v>7</v>
      </c>
      <c r="T548" s="11">
        <v>1</v>
      </c>
      <c r="U548" s="11">
        <v>2</v>
      </c>
      <c r="V548" s="11" t="s">
        <v>95</v>
      </c>
      <c r="W548" s="11">
        <v>3</v>
      </c>
      <c r="X548" s="11">
        <v>4</v>
      </c>
      <c r="Y548" s="11">
        <v>5</v>
      </c>
      <c r="Z548" s="11">
        <v>6</v>
      </c>
      <c r="AA548" s="11">
        <v>7</v>
      </c>
      <c r="AB548" s="22">
        <v>8</v>
      </c>
      <c r="AC548" s="146"/>
      <c r="AK548" s="146"/>
      <c r="AL548" s="146"/>
      <c r="AM548" s="146"/>
      <c r="AN548" s="146"/>
    </row>
    <row r="549" spans="2:40" x14ac:dyDescent="0.25">
      <c r="B549" s="9" t="s">
        <v>8</v>
      </c>
      <c r="C549" s="10" t="s">
        <v>9</v>
      </c>
      <c r="D549" s="11" t="s">
        <v>10</v>
      </c>
      <c r="E549" s="41">
        <f>SUM(E550:E553)</f>
        <v>0</v>
      </c>
      <c r="F549" s="41">
        <f>SUM(F550:F553)</f>
        <v>0</v>
      </c>
      <c r="G549" s="41">
        <f>SUM(G550:G553)</f>
        <v>0</v>
      </c>
      <c r="H549" s="86">
        <f>SUM(H550:H553)</f>
        <v>0</v>
      </c>
      <c r="K549" s="9" t="s">
        <v>8</v>
      </c>
      <c r="L549" s="10" t="s">
        <v>9</v>
      </c>
      <c r="M549" s="11" t="s">
        <v>10</v>
      </c>
      <c r="N549" s="41">
        <f>SUM(N550:N553)</f>
        <v>0</v>
      </c>
      <c r="O549" s="41">
        <f>SUM(O550:O553)</f>
        <v>0</v>
      </c>
      <c r="P549" s="41">
        <f>SUM(P550:P553)</f>
        <v>0</v>
      </c>
      <c r="Q549" s="86">
        <f>SUM(Q550:Q553)</f>
        <v>0</v>
      </c>
      <c r="T549" s="9" t="s">
        <v>8</v>
      </c>
      <c r="U549" s="10" t="s">
        <v>9</v>
      </c>
      <c r="V549" s="11" t="s">
        <v>10</v>
      </c>
      <c r="W549" s="86">
        <f t="shared" ref="W549:AB549" si="58">SUM(W550:W553)</f>
        <v>0</v>
      </c>
      <c r="X549" s="86">
        <f t="shared" si="58"/>
        <v>0</v>
      </c>
      <c r="Y549" s="86">
        <f t="shared" si="58"/>
        <v>0</v>
      </c>
      <c r="Z549" s="86">
        <f t="shared" si="58"/>
        <v>0</v>
      </c>
      <c r="AA549" s="86">
        <f t="shared" si="58"/>
        <v>0</v>
      </c>
      <c r="AB549" s="86">
        <f t="shared" si="58"/>
        <v>0</v>
      </c>
      <c r="AC549" s="146"/>
      <c r="AK549" s="146"/>
      <c r="AL549" s="146"/>
      <c r="AM549" s="146"/>
      <c r="AN549" s="146"/>
    </row>
    <row r="550" spans="2:40" x14ac:dyDescent="0.25">
      <c r="B550" s="12" t="s">
        <v>11</v>
      </c>
      <c r="C550" s="13" t="s">
        <v>12</v>
      </c>
      <c r="D550" s="3" t="s">
        <v>10</v>
      </c>
      <c r="E550" s="44">
        <v>0</v>
      </c>
      <c r="F550" s="44">
        <f>IF(YEAR(Postup!$H$25)&gt;$D$536,Provozování!AS23,IF(AND(DAY(Postup!$H$25)=31,MONTH(Postup!$H$25)=12,YEAR(Postup!$H$25)=$D$536),Provozování!AS23,IF(YEAR(Postup!$H$25)=$D$536,Provozování!$BL23,0)))</f>
        <v>0</v>
      </c>
      <c r="G550" s="44">
        <v>0</v>
      </c>
      <c r="H550" s="334">
        <v>0</v>
      </c>
      <c r="K550" s="12" t="s">
        <v>11</v>
      </c>
      <c r="L550" s="13" t="s">
        <v>12</v>
      </c>
      <c r="M550" s="3" t="s">
        <v>10</v>
      </c>
      <c r="N550" s="44">
        <v>0</v>
      </c>
      <c r="O550" s="44">
        <f>IF(Provozování!$AU$16="Neaktivní",0,Provozování!AU23)</f>
        <v>0</v>
      </c>
      <c r="P550" s="44">
        <v>0</v>
      </c>
      <c r="Q550" s="334">
        <v>0</v>
      </c>
      <c r="T550" s="12" t="s">
        <v>11</v>
      </c>
      <c r="U550" s="13" t="s">
        <v>12</v>
      </c>
      <c r="V550" s="3" t="s">
        <v>10</v>
      </c>
      <c r="W550" s="462">
        <v>0</v>
      </c>
      <c r="X550" s="44">
        <f>IF(Provozování!$AU$16="Neaktivní",F550,O550)</f>
        <v>0</v>
      </c>
      <c r="Y550" s="44">
        <f>W550-X550</f>
        <v>0</v>
      </c>
      <c r="Z550" s="337">
        <v>0</v>
      </c>
      <c r="AA550" s="337">
        <v>0</v>
      </c>
      <c r="AB550" s="334">
        <v>0</v>
      </c>
      <c r="AC550" s="146"/>
      <c r="AK550" s="146"/>
      <c r="AL550" s="146"/>
      <c r="AM550" s="146"/>
      <c r="AN550" s="146"/>
    </row>
    <row r="551" spans="2:40" x14ac:dyDescent="0.25">
      <c r="B551" s="12" t="s">
        <v>13</v>
      </c>
      <c r="C551" s="12" t="s">
        <v>14</v>
      </c>
      <c r="D551" s="3" t="s">
        <v>10</v>
      </c>
      <c r="E551" s="52">
        <v>0</v>
      </c>
      <c r="F551" s="44">
        <f>IF(YEAR(Postup!$H$25)&gt;$D$536,Provozování!AS24,IF(AND(DAY(Postup!$H$25)=31,MONTH(Postup!$H$25)=12,YEAR(Postup!$H$25)=$D$536),Provozování!AS24,IF(YEAR(Postup!$H$25)=$D$536,Provozování!$BL24,0)))</f>
        <v>0</v>
      </c>
      <c r="G551" s="52">
        <v>0</v>
      </c>
      <c r="H551" s="30">
        <f>IF(YEAR(Postup!$H$25)&gt;$D$536,Provozování!AT24,IF(AND(DAY(Postup!$H$25)=31,MONTH(Postup!$H$25)=12,YEAR(Postup!$H$25)=$D$536),Provozování!AT24,IF(YEAR(Postup!$H$25)=$D$536,Provozování!$BM24,0)))</f>
        <v>0</v>
      </c>
      <c r="K551" s="12" t="s">
        <v>13</v>
      </c>
      <c r="L551" s="12" t="s">
        <v>14</v>
      </c>
      <c r="M551" s="3" t="s">
        <v>10</v>
      </c>
      <c r="N551" s="52">
        <v>0</v>
      </c>
      <c r="O551" s="44">
        <f>IF(Provozování!$AU$16="Neaktivní",0,Provozování!AU24)</f>
        <v>0</v>
      </c>
      <c r="P551" s="52">
        <v>0</v>
      </c>
      <c r="Q551" s="53">
        <f>IF(Provozování!$AU$16="Neaktivní",0,Provozování!AV24)</f>
        <v>0</v>
      </c>
      <c r="T551" s="12" t="s">
        <v>13</v>
      </c>
      <c r="U551" s="12" t="s">
        <v>14</v>
      </c>
      <c r="V551" s="3" t="s">
        <v>10</v>
      </c>
      <c r="W551" s="463">
        <v>0</v>
      </c>
      <c r="X551" s="44">
        <f>IF(Provozování!$AU$16="Neaktivní",F551,O551)</f>
        <v>0</v>
      </c>
      <c r="Y551" s="44">
        <f>W551-X551</f>
        <v>0</v>
      </c>
      <c r="Z551" s="463">
        <v>0</v>
      </c>
      <c r="AA551" s="44">
        <f>IF(Provozování!$AU$16="Neaktivní",H551,Q551)</f>
        <v>0</v>
      </c>
      <c r="AB551" s="30">
        <f>Z551-AA551</f>
        <v>0</v>
      </c>
      <c r="AC551" s="146"/>
      <c r="AK551" s="146"/>
      <c r="AL551" s="146"/>
      <c r="AM551" s="146"/>
      <c r="AN551" s="146"/>
    </row>
    <row r="552" spans="2:40" x14ac:dyDescent="0.25">
      <c r="B552" s="12" t="s">
        <v>15</v>
      </c>
      <c r="C552" s="13" t="s">
        <v>16</v>
      </c>
      <c r="D552" s="3" t="s">
        <v>10</v>
      </c>
      <c r="E552" s="30">
        <v>0</v>
      </c>
      <c r="F552" s="457">
        <f>IF(YEAR(Postup!$H$25)&gt;$D$536,Provozování!AS25,IF(AND(DAY(Postup!$H$25)=31,MONTH(Postup!$H$25)=12,YEAR(Postup!$H$25)=$D$536),Provozování!AS25,IF(YEAR(Postup!$H$25)=$D$536,Provozování!$BL25,0)))</f>
        <v>0</v>
      </c>
      <c r="G552" s="30">
        <v>0</v>
      </c>
      <c r="H552" s="457">
        <f>IF(YEAR(Postup!$H$25)&gt;$D$536,Provozování!AT25,IF(AND(DAY(Postup!$H$25)=31,MONTH(Postup!$H$25)=12,YEAR(Postup!$H$25)=$D$536),Provozování!AT25,IF(YEAR(Postup!$H$25)=$D$536,Provozování!$BM25,0)))</f>
        <v>0</v>
      </c>
      <c r="K552" s="12" t="s">
        <v>15</v>
      </c>
      <c r="L552" s="13" t="s">
        <v>16</v>
      </c>
      <c r="M552" s="3" t="s">
        <v>10</v>
      </c>
      <c r="N552" s="30">
        <v>0</v>
      </c>
      <c r="O552" s="457">
        <f>IF(Provozování!$AU$16="Neaktivní",0,Provozování!AU25)</f>
        <v>0</v>
      </c>
      <c r="P552" s="30">
        <v>0</v>
      </c>
      <c r="Q552" s="457">
        <f>IF(Provozování!$AU$16="Neaktivní",0,Provozování!AV25)</f>
        <v>0</v>
      </c>
      <c r="T552" s="12" t="s">
        <v>15</v>
      </c>
      <c r="U552" s="13" t="s">
        <v>16</v>
      </c>
      <c r="V552" s="3" t="s">
        <v>10</v>
      </c>
      <c r="W552" s="464">
        <v>0</v>
      </c>
      <c r="X552" s="44">
        <f>IF(Provozování!$AU$16="Neaktivní",F552,O552)</f>
        <v>0</v>
      </c>
      <c r="Y552" s="44">
        <f>W552-X552</f>
        <v>0</v>
      </c>
      <c r="Z552" s="464">
        <v>0</v>
      </c>
      <c r="AA552" s="44">
        <f>IF(Provozování!$AU$16="Neaktivní",H552,Q552)</f>
        <v>0</v>
      </c>
      <c r="AB552" s="30">
        <f>Z552-AA552</f>
        <v>0</v>
      </c>
      <c r="AC552" s="146"/>
      <c r="AK552" s="146"/>
      <c r="AL552" s="146"/>
      <c r="AM552" s="146"/>
      <c r="AN552" s="146"/>
    </row>
    <row r="553" spans="2:40" x14ac:dyDescent="0.25">
      <c r="B553" s="12" t="s">
        <v>17</v>
      </c>
      <c r="C553" s="13" t="s">
        <v>18</v>
      </c>
      <c r="D553" s="3" t="s">
        <v>10</v>
      </c>
      <c r="E553" s="87">
        <v>0</v>
      </c>
      <c r="F553" s="457">
        <f>IF(YEAR(Postup!$H$25)&gt;$D$536,Provozování!AS26,IF(AND(DAY(Postup!$H$25)=31,MONTH(Postup!$H$25)=12,YEAR(Postup!$H$25)=$D$536),Provozování!AS26,IF(YEAR(Postup!$H$25)=$D$536,Provozování!$BL26,0)))</f>
        <v>0</v>
      </c>
      <c r="G553" s="87">
        <v>0</v>
      </c>
      <c r="H553" s="457">
        <f>IF(YEAR(Postup!$H$25)&gt;$D$536,Provozování!AT26,IF(AND(DAY(Postup!$H$25)=31,MONTH(Postup!$H$25)=12,YEAR(Postup!$H$25)=$D$536),Provozování!AT26,IF(YEAR(Postup!$H$25)=$D$536,Provozování!$BM26,0)))</f>
        <v>0</v>
      </c>
      <c r="K553" s="12" t="s">
        <v>17</v>
      </c>
      <c r="L553" s="13" t="s">
        <v>18</v>
      </c>
      <c r="M553" s="3" t="s">
        <v>10</v>
      </c>
      <c r="N553" s="87">
        <v>0</v>
      </c>
      <c r="O553" s="457">
        <f>IF(Provozování!$AU$16="Neaktivní",0,Provozování!AU26)</f>
        <v>0</v>
      </c>
      <c r="P553" s="87">
        <v>0</v>
      </c>
      <c r="Q553" s="457">
        <f>IF(Provozování!$AU$16="Neaktivní",0,Provozování!AV26)</f>
        <v>0</v>
      </c>
      <c r="T553" s="12" t="s">
        <v>17</v>
      </c>
      <c r="U553" s="13" t="s">
        <v>18</v>
      </c>
      <c r="V553" s="3" t="s">
        <v>10</v>
      </c>
      <c r="W553" s="465">
        <v>0</v>
      </c>
      <c r="X553" s="44">
        <f>IF(Provozování!$AU$16="Neaktivní",F553,O553)</f>
        <v>0</v>
      </c>
      <c r="Y553" s="44">
        <f>W553-X553</f>
        <v>0</v>
      </c>
      <c r="Z553" s="465">
        <v>0</v>
      </c>
      <c r="AA553" s="44">
        <f>IF(Provozování!$AU$16="Neaktivní",H553,Q553)</f>
        <v>0</v>
      </c>
      <c r="AB553" s="30">
        <f>Z553-AA553</f>
        <v>0</v>
      </c>
      <c r="AC553" s="146"/>
      <c r="AK553" s="146"/>
      <c r="AL553" s="146"/>
      <c r="AM553" s="146"/>
      <c r="AN553" s="146"/>
    </row>
    <row r="554" spans="2:40" x14ac:dyDescent="0.25">
      <c r="B554" s="9" t="s">
        <v>19</v>
      </c>
      <c r="C554" s="10" t="s">
        <v>20</v>
      </c>
      <c r="D554" s="11" t="s">
        <v>10</v>
      </c>
      <c r="E554" s="88">
        <f>SUM(E555:E556)</f>
        <v>0</v>
      </c>
      <c r="F554" s="88">
        <f>SUM(F555:F556)</f>
        <v>0</v>
      </c>
      <c r="G554" s="88">
        <f>SUM(G555:G556)</f>
        <v>0</v>
      </c>
      <c r="H554" s="86">
        <f>SUM(H555:H556)</f>
        <v>0</v>
      </c>
      <c r="K554" s="9" t="s">
        <v>19</v>
      </c>
      <c r="L554" s="10" t="s">
        <v>20</v>
      </c>
      <c r="M554" s="11" t="s">
        <v>10</v>
      </c>
      <c r="N554" s="88">
        <f>SUM(N555:N556)</f>
        <v>0</v>
      </c>
      <c r="O554" s="88">
        <f>SUM(O555:O556)</f>
        <v>0</v>
      </c>
      <c r="P554" s="88">
        <f>SUM(P555:P556)</f>
        <v>0</v>
      </c>
      <c r="Q554" s="86">
        <f>SUM(Q555:Q556)</f>
        <v>0</v>
      </c>
      <c r="T554" s="9" t="s">
        <v>19</v>
      </c>
      <c r="U554" s="10" t="s">
        <v>20</v>
      </c>
      <c r="V554" s="11" t="s">
        <v>10</v>
      </c>
      <c r="W554" s="86">
        <f t="shared" ref="W554:AB554" si="59">SUM(W555:W556)</f>
        <v>0</v>
      </c>
      <c r="X554" s="86">
        <f t="shared" si="59"/>
        <v>0</v>
      </c>
      <c r="Y554" s="86">
        <f t="shared" si="59"/>
        <v>0</v>
      </c>
      <c r="Z554" s="86">
        <f t="shared" si="59"/>
        <v>0</v>
      </c>
      <c r="AA554" s="86">
        <f t="shared" si="59"/>
        <v>0</v>
      </c>
      <c r="AB554" s="86">
        <f t="shared" si="59"/>
        <v>0</v>
      </c>
      <c r="AC554" s="146"/>
      <c r="AK554" s="146"/>
      <c r="AL554" s="146"/>
      <c r="AM554" s="146"/>
      <c r="AN554" s="146"/>
    </row>
    <row r="555" spans="2:40" x14ac:dyDescent="0.25">
      <c r="B555" s="12" t="s">
        <v>21</v>
      </c>
      <c r="C555" s="12" t="s">
        <v>22</v>
      </c>
      <c r="D555" s="3" t="s">
        <v>10</v>
      </c>
      <c r="E555" s="30">
        <v>0</v>
      </c>
      <c r="F555" s="457">
        <f>IF(YEAR(Postup!$H$25)&gt;$D$536,Provozování!AS28,IF(AND(DAY(Postup!$H$25)=31,MONTH(Postup!$H$25)=12,YEAR(Postup!$H$25)=$D$536),Provozování!AS28,IF(YEAR(Postup!$H$25)=$D$536,Provozování!$BL28,0)))</f>
        <v>0</v>
      </c>
      <c r="G555" s="30">
        <v>0</v>
      </c>
      <c r="H555" s="457">
        <f>IF(YEAR(Postup!$H$25)&gt;$D$536,Provozování!AT28,IF(AND(DAY(Postup!$H$25)=31,MONTH(Postup!$H$25)=12,YEAR(Postup!$H$25)=$D$536),Provozování!AT28,IF(YEAR(Postup!$H$25)=$D$536,Provozování!$BM28,0)))</f>
        <v>0</v>
      </c>
      <c r="K555" s="12" t="s">
        <v>21</v>
      </c>
      <c r="L555" s="12" t="s">
        <v>22</v>
      </c>
      <c r="M555" s="3" t="s">
        <v>10</v>
      </c>
      <c r="N555" s="30">
        <v>0</v>
      </c>
      <c r="O555" s="457">
        <f>IF(Provozování!$AU$16="Neaktivní",0,Provozování!AU28)</f>
        <v>0</v>
      </c>
      <c r="P555" s="30">
        <v>0</v>
      </c>
      <c r="Q555" s="457">
        <f>IF(Provozování!$AU$16="Neaktivní",0,Provozování!AV28)</f>
        <v>0</v>
      </c>
      <c r="T555" s="12" t="s">
        <v>21</v>
      </c>
      <c r="U555" s="12" t="s">
        <v>22</v>
      </c>
      <c r="V555" s="3" t="s">
        <v>10</v>
      </c>
      <c r="W555" s="462">
        <v>0</v>
      </c>
      <c r="X555" s="44">
        <f>IF(Provozování!$AU$16="Neaktivní",F555,O555)</f>
        <v>0</v>
      </c>
      <c r="Y555" s="44">
        <f>W555-X555</f>
        <v>0</v>
      </c>
      <c r="Z555" s="464">
        <v>0</v>
      </c>
      <c r="AA555" s="44">
        <f>IF(Provozování!$AU$16="Neaktivní",H555,Q555)</f>
        <v>0</v>
      </c>
      <c r="AB555" s="30">
        <f>Z555-AA555</f>
        <v>0</v>
      </c>
      <c r="AC555" s="146"/>
      <c r="AK555" s="146"/>
      <c r="AL555" s="146"/>
      <c r="AM555" s="146"/>
      <c r="AN555" s="146"/>
    </row>
    <row r="556" spans="2:40" x14ac:dyDescent="0.25">
      <c r="B556" s="12" t="s">
        <v>23</v>
      </c>
      <c r="C556" s="12" t="s">
        <v>24</v>
      </c>
      <c r="D556" s="3" t="s">
        <v>10</v>
      </c>
      <c r="E556" s="87">
        <v>0</v>
      </c>
      <c r="F556" s="457">
        <f>IF(YEAR(Postup!$H$25)&gt;$D$536,Provozování!AS29,IF(AND(DAY(Postup!$H$25)=31,MONTH(Postup!$H$25)=12,YEAR(Postup!$H$25)=$D$536),Provozování!AS29,IF(YEAR(Postup!$H$25)=$D$536,Provozování!$BL29,0)))</f>
        <v>0</v>
      </c>
      <c r="G556" s="87">
        <v>0</v>
      </c>
      <c r="H556" s="457">
        <f>IF(YEAR(Postup!$H$25)&gt;$D$536,Provozování!AT29,IF(AND(DAY(Postup!$H$25)=31,MONTH(Postup!$H$25)=12,YEAR(Postup!$H$25)=$D$536),Provozování!AT29,IF(YEAR(Postup!$H$25)=$D$536,Provozování!$BM29,0)))</f>
        <v>0</v>
      </c>
      <c r="K556" s="12" t="s">
        <v>23</v>
      </c>
      <c r="L556" s="12" t="s">
        <v>24</v>
      </c>
      <c r="M556" s="3" t="s">
        <v>10</v>
      </c>
      <c r="N556" s="87">
        <v>0</v>
      </c>
      <c r="O556" s="457">
        <f>IF(Provozování!$AU$16="Neaktivní",0,Provozování!AU29)</f>
        <v>0</v>
      </c>
      <c r="P556" s="87">
        <v>0</v>
      </c>
      <c r="Q556" s="457">
        <f>IF(Provozování!$AU$16="Neaktivní",0,Provozování!AV29)</f>
        <v>0</v>
      </c>
      <c r="T556" s="12" t="s">
        <v>23</v>
      </c>
      <c r="U556" s="12" t="s">
        <v>24</v>
      </c>
      <c r="V556" s="3" t="s">
        <v>10</v>
      </c>
      <c r="W556" s="463">
        <v>0</v>
      </c>
      <c r="X556" s="44">
        <f>IF(Provozování!$AU$16="Neaktivní",F556,O556)</f>
        <v>0</v>
      </c>
      <c r="Y556" s="44">
        <f>W556-X556</f>
        <v>0</v>
      </c>
      <c r="Z556" s="465">
        <v>0</v>
      </c>
      <c r="AA556" s="44">
        <f>IF(Provozování!$AU$16="Neaktivní",H556,Q556)</f>
        <v>0</v>
      </c>
      <c r="AB556" s="30">
        <f>Z556-AA556</f>
        <v>0</v>
      </c>
      <c r="AC556" s="146"/>
      <c r="AK556" s="146"/>
      <c r="AL556" s="146"/>
      <c r="AM556" s="146"/>
      <c r="AN556" s="146"/>
    </row>
    <row r="557" spans="2:40" x14ac:dyDescent="0.25">
      <c r="B557" s="9" t="s">
        <v>25</v>
      </c>
      <c r="C557" s="10" t="s">
        <v>400</v>
      </c>
      <c r="D557" s="11" t="s">
        <v>10</v>
      </c>
      <c r="E557" s="41">
        <f>SUM(E558:E559)</f>
        <v>0</v>
      </c>
      <c r="F557" s="41">
        <f>SUM(F558:F559)</f>
        <v>0</v>
      </c>
      <c r="G557" s="41">
        <f>SUM(G558:G559)</f>
        <v>0</v>
      </c>
      <c r="H557" s="86">
        <f>SUM(H558:H559)</f>
        <v>0</v>
      </c>
      <c r="K557" s="9" t="s">
        <v>25</v>
      </c>
      <c r="L557" s="10" t="s">
        <v>400</v>
      </c>
      <c r="M557" s="11" t="s">
        <v>10</v>
      </c>
      <c r="N557" s="41">
        <f>SUM(N558:N559)</f>
        <v>0</v>
      </c>
      <c r="O557" s="41">
        <f>SUM(O558:O559)</f>
        <v>0</v>
      </c>
      <c r="P557" s="41">
        <f>SUM(P558:P559)</f>
        <v>0</v>
      </c>
      <c r="Q557" s="86">
        <f>SUM(Q558:Q559)</f>
        <v>0</v>
      </c>
      <c r="T557" s="9" t="s">
        <v>25</v>
      </c>
      <c r="U557" s="10" t="s">
        <v>400</v>
      </c>
      <c r="V557" s="11" t="s">
        <v>10</v>
      </c>
      <c r="W557" s="86">
        <f t="shared" ref="W557:AB557" si="60">SUM(W558:W559)</f>
        <v>0</v>
      </c>
      <c r="X557" s="86">
        <f t="shared" si="60"/>
        <v>0</v>
      </c>
      <c r="Y557" s="86">
        <f t="shared" si="60"/>
        <v>0</v>
      </c>
      <c r="Z557" s="86">
        <f t="shared" si="60"/>
        <v>0</v>
      </c>
      <c r="AA557" s="86">
        <f t="shared" si="60"/>
        <v>0</v>
      </c>
      <c r="AB557" s="86">
        <f t="shared" si="60"/>
        <v>0</v>
      </c>
      <c r="AC557" s="146"/>
      <c r="AD557" s="146"/>
      <c r="AK557" s="146"/>
      <c r="AL557" s="146"/>
      <c r="AM557" s="146"/>
      <c r="AN557" s="146"/>
    </row>
    <row r="558" spans="2:40" x14ac:dyDescent="0.25">
      <c r="B558" s="12" t="s">
        <v>26</v>
      </c>
      <c r="C558" s="13" t="s">
        <v>390</v>
      </c>
      <c r="D558" s="3" t="s">
        <v>10</v>
      </c>
      <c r="E558" s="44">
        <v>0</v>
      </c>
      <c r="F558" s="457">
        <f>IF(YEAR(Postup!$H$25)&gt;$D$536,Provozování!AS31,IF(AND(DAY(Postup!$H$25)=31,MONTH(Postup!$H$25)=12,YEAR(Postup!$H$25)=$D$536),Provozování!AS31,IF(YEAR(Postup!$H$25)=$D$536,Provozování!$BL31,0)))</f>
        <v>0</v>
      </c>
      <c r="G558" s="44">
        <v>0</v>
      </c>
      <c r="H558" s="457">
        <f>IF(YEAR(Postup!$H$25)&gt;$D$536,Provozování!AT31,IF(AND(DAY(Postup!$H$25)=31,MONTH(Postup!$H$25)=12,YEAR(Postup!$H$25)=$D$536),Provozování!AT31,IF(YEAR(Postup!$H$25)=$D$536,Provozování!$BM31,0)))</f>
        <v>0</v>
      </c>
      <c r="K558" s="12" t="s">
        <v>26</v>
      </c>
      <c r="L558" s="13" t="s">
        <v>390</v>
      </c>
      <c r="M558" s="3" t="s">
        <v>10</v>
      </c>
      <c r="N558" s="44">
        <v>0</v>
      </c>
      <c r="O558" s="457">
        <f>IF(Provozování!$AU$16="Neaktivní",0,Provozování!AU31)</f>
        <v>0</v>
      </c>
      <c r="P558" s="44">
        <v>0</v>
      </c>
      <c r="Q558" s="457">
        <f>IF(Provozování!$AU$16="Neaktivní",0,Provozování!AV31)</f>
        <v>0</v>
      </c>
      <c r="T558" s="12" t="s">
        <v>26</v>
      </c>
      <c r="U558" s="13" t="s">
        <v>390</v>
      </c>
      <c r="V558" s="3" t="s">
        <v>10</v>
      </c>
      <c r="W558" s="462">
        <v>0</v>
      </c>
      <c r="X558" s="44">
        <f>IF(Provozování!$AU$16="Neaktivní",F558,O558)</f>
        <v>0</v>
      </c>
      <c r="Y558" s="44">
        <f>W558-X558</f>
        <v>0</v>
      </c>
      <c r="Z558" s="462">
        <v>0</v>
      </c>
      <c r="AA558" s="44">
        <f>IF(Provozování!$AP$16="Neaktivní",H558,Q558)</f>
        <v>0</v>
      </c>
      <c r="AB558" s="30">
        <f>Z558-AA558</f>
        <v>0</v>
      </c>
      <c r="AC558" s="146"/>
      <c r="AD558" s="146"/>
      <c r="AK558" s="146"/>
      <c r="AL558" s="146"/>
      <c r="AM558" s="146"/>
      <c r="AN558" s="146"/>
    </row>
    <row r="559" spans="2:40" x14ac:dyDescent="0.25">
      <c r="B559" s="12" t="s">
        <v>27</v>
      </c>
      <c r="C559" s="13" t="s">
        <v>401</v>
      </c>
      <c r="D559" s="3" t="s">
        <v>10</v>
      </c>
      <c r="E559" s="44">
        <v>0</v>
      </c>
      <c r="F559" s="457">
        <f>IF(YEAR(Postup!$H$25)&gt;$D$536,Provozování!AS32,IF(AND(DAY(Postup!$H$25)=31,MONTH(Postup!$H$25)=12,YEAR(Postup!$H$25)=$D$536),Provozování!AS32,IF(YEAR(Postup!$H$25)=$D$536,Provozování!$BL32,0)))</f>
        <v>0</v>
      </c>
      <c r="G559" s="44">
        <v>0</v>
      </c>
      <c r="H559" s="457">
        <f>IF(YEAR(Postup!$H$25)&gt;$D$536,Provozování!AT32,IF(AND(DAY(Postup!$H$25)=31,MONTH(Postup!$H$25)=12,YEAR(Postup!$H$25)=$D$536),Provozování!AT32,IF(YEAR(Postup!$H$25)=$D$536,Provozování!$BM32,0)))</f>
        <v>0</v>
      </c>
      <c r="K559" s="12" t="s">
        <v>27</v>
      </c>
      <c r="L559" s="13" t="s">
        <v>401</v>
      </c>
      <c r="M559" s="3" t="s">
        <v>10</v>
      </c>
      <c r="N559" s="44">
        <v>0</v>
      </c>
      <c r="O559" s="457">
        <f>IF(Provozování!$AU$16="Neaktivní",0,Provozování!AU32)</f>
        <v>0</v>
      </c>
      <c r="P559" s="44">
        <v>0</v>
      </c>
      <c r="Q559" s="457">
        <f>IF(Provozování!$AU$16="Neaktivní",0,Provozování!AV32)</f>
        <v>0</v>
      </c>
      <c r="T559" s="12" t="s">
        <v>27</v>
      </c>
      <c r="U559" s="13" t="s">
        <v>401</v>
      </c>
      <c r="V559" s="3" t="s">
        <v>10</v>
      </c>
      <c r="W559" s="462">
        <v>0</v>
      </c>
      <c r="X559" s="44">
        <f>IF(Provozování!$AU$16="Neaktivní",F559,O559)</f>
        <v>0</v>
      </c>
      <c r="Y559" s="44">
        <f>W559-X559</f>
        <v>0</v>
      </c>
      <c r="Z559" s="462">
        <v>0</v>
      </c>
      <c r="AA559" s="44">
        <f>IF(Provozování!$AP$16="Neaktivní",H559,Q559)</f>
        <v>0</v>
      </c>
      <c r="AB559" s="30">
        <f>Z559-AA559</f>
        <v>0</v>
      </c>
      <c r="AC559" s="146"/>
      <c r="AD559" s="146"/>
      <c r="AK559" s="146"/>
      <c r="AL559" s="146"/>
      <c r="AM559" s="146"/>
      <c r="AN559" s="146"/>
    </row>
    <row r="560" spans="2:40" x14ac:dyDescent="0.25">
      <c r="B560" s="9" t="s">
        <v>28</v>
      </c>
      <c r="C560" s="10" t="s">
        <v>29</v>
      </c>
      <c r="D560" s="11" t="s">
        <v>10</v>
      </c>
      <c r="E560" s="41">
        <f>SUM(E561:E564)</f>
        <v>0</v>
      </c>
      <c r="F560" s="41">
        <f>SUM(F561:F564)</f>
        <v>0</v>
      </c>
      <c r="G560" s="41">
        <f>SUM(G561:G564)</f>
        <v>0</v>
      </c>
      <c r="H560" s="86">
        <f>SUM(H561:H564)</f>
        <v>0</v>
      </c>
      <c r="K560" s="9" t="s">
        <v>28</v>
      </c>
      <c r="L560" s="10" t="s">
        <v>29</v>
      </c>
      <c r="M560" s="11" t="s">
        <v>10</v>
      </c>
      <c r="N560" s="41">
        <f>SUM(N561:N564)</f>
        <v>0</v>
      </c>
      <c r="O560" s="41">
        <f>SUM(O561:O564)</f>
        <v>0</v>
      </c>
      <c r="P560" s="41">
        <f>SUM(P561:P564)</f>
        <v>0</v>
      </c>
      <c r="Q560" s="86">
        <f>SUM(Q561:Q564)</f>
        <v>0</v>
      </c>
      <c r="T560" s="9" t="s">
        <v>28</v>
      </c>
      <c r="U560" s="10" t="s">
        <v>29</v>
      </c>
      <c r="V560" s="11" t="s">
        <v>10</v>
      </c>
      <c r="W560" s="86">
        <f t="shared" ref="W560:AB560" si="61">SUM(W561:W564)</f>
        <v>0</v>
      </c>
      <c r="X560" s="86">
        <f t="shared" si="61"/>
        <v>0</v>
      </c>
      <c r="Y560" s="86">
        <f t="shared" si="61"/>
        <v>0</v>
      </c>
      <c r="Z560" s="86">
        <f t="shared" si="61"/>
        <v>0</v>
      </c>
      <c r="AA560" s="86">
        <f t="shared" si="61"/>
        <v>0</v>
      </c>
      <c r="AB560" s="86">
        <f t="shared" si="61"/>
        <v>0</v>
      </c>
      <c r="AC560" s="146"/>
      <c r="AD560" s="146"/>
      <c r="AK560" s="146"/>
      <c r="AL560" s="146"/>
      <c r="AM560" s="146"/>
      <c r="AN560" s="146"/>
    </row>
    <row r="561" spans="2:40" x14ac:dyDescent="0.25">
      <c r="B561" s="12" t="s">
        <v>30</v>
      </c>
      <c r="C561" s="12" t="s">
        <v>381</v>
      </c>
      <c r="D561" s="3" t="s">
        <v>10</v>
      </c>
      <c r="E561" s="44">
        <v>0</v>
      </c>
      <c r="F561" s="336">
        <f>IF(YEAR(Postup!$H$25)&gt;$D$536,Provozování!AS34,IF(AND(DAY(Postup!$H$25)=31,MONTH(Postup!$H$25)=12,YEAR(Postup!$H$25)=$D$536),Provozování!AS34,IF(YEAR(Postup!$H$25)=$D$536,Provozování!$BL34,0)))</f>
        <v>0</v>
      </c>
      <c r="G561" s="44">
        <v>0</v>
      </c>
      <c r="H561" s="335">
        <f>IF(YEAR(Postup!$H$25)&gt;$D$536,Provozování!AT34,IF(AND(DAY(Postup!$H$25)=31,MONTH(Postup!$H$25)=12,YEAR(Postup!$H$25)=$D$536),Provozování!AT34,IF(YEAR(Postup!$H$25)=$D$536,Provozování!$BM34,0)))</f>
        <v>0</v>
      </c>
      <c r="K561" s="12" t="s">
        <v>30</v>
      </c>
      <c r="L561" s="12" t="s">
        <v>381</v>
      </c>
      <c r="M561" s="3" t="s">
        <v>10</v>
      </c>
      <c r="N561" s="44">
        <v>0</v>
      </c>
      <c r="O561" s="640">
        <f>IF(Provozování!$AU$16="Neaktivní",0,Provozování!AU34)</f>
        <v>0</v>
      </c>
      <c r="P561" s="44">
        <v>0</v>
      </c>
      <c r="Q561" s="772">
        <f>IF(Provozování!$AU$16="Neaktivní",0,Provozování!AV34)</f>
        <v>0</v>
      </c>
      <c r="T561" s="12" t="s">
        <v>30</v>
      </c>
      <c r="U561" s="12" t="s">
        <v>381</v>
      </c>
      <c r="V561" s="3" t="s">
        <v>10</v>
      </c>
      <c r="W561" s="462">
        <v>0</v>
      </c>
      <c r="X561" s="44">
        <f>IF(Provozování!$AU$16="Neaktivní",F561,O561)</f>
        <v>0</v>
      </c>
      <c r="Y561" s="44">
        <f>W561-X561</f>
        <v>0</v>
      </c>
      <c r="Z561" s="462">
        <v>0</v>
      </c>
      <c r="AA561" s="44">
        <f>IF(Provozování!$AU$16="Neaktivní",H561,Q561)</f>
        <v>0</v>
      </c>
      <c r="AB561" s="30">
        <f>Z561-AA561</f>
        <v>0</v>
      </c>
      <c r="AC561" s="146"/>
      <c r="AD561" s="146"/>
      <c r="AK561" s="146"/>
      <c r="AL561" s="146"/>
      <c r="AM561" s="146"/>
      <c r="AN561" s="146"/>
    </row>
    <row r="562" spans="2:40" x14ac:dyDescent="0.25">
      <c r="B562" s="12" t="s">
        <v>32</v>
      </c>
      <c r="C562" s="12" t="s">
        <v>383</v>
      </c>
      <c r="D562" s="3" t="s">
        <v>10</v>
      </c>
      <c r="E562" s="44">
        <v>0</v>
      </c>
      <c r="F562" s="662">
        <f>IF(YEAR(Postup!$H$25)&gt;$D$536,Provozování!AS35,IF(AND(DAY(Postup!$H$25)=31,MONTH(Postup!$H$25)=12,YEAR(Postup!$H$25)=$D$536),Provozování!AS35,IF(YEAR(Postup!$H$25)=$D$536,Provozování!$BL35,0)))</f>
        <v>0</v>
      </c>
      <c r="G562" s="44">
        <v>0</v>
      </c>
      <c r="H562" s="663">
        <f>IF(YEAR(Postup!$H$25)&gt;$D$536,Provozování!AT35,IF(AND(DAY(Postup!$H$25)=31,MONTH(Postup!$H$25)=12,YEAR(Postup!$H$25)=$D$536),Provozování!AT35,IF(YEAR(Postup!$H$25)=$D$536,Provozování!$BM35,0)))</f>
        <v>0</v>
      </c>
      <c r="K562" s="12" t="s">
        <v>32</v>
      </c>
      <c r="L562" s="12" t="s">
        <v>383</v>
      </c>
      <c r="M562" s="3" t="s">
        <v>10</v>
      </c>
      <c r="N562" s="44">
        <v>0</v>
      </c>
      <c r="O562" s="666">
        <f>IF(Provozování!$AU$16="Neaktivní",0,Provozování!AU35)</f>
        <v>0</v>
      </c>
      <c r="P562" s="44">
        <v>0</v>
      </c>
      <c r="Q562" s="669">
        <f>IF(Provozování!$AU$16="Neaktivní",0,Provozování!AV35)</f>
        <v>0</v>
      </c>
      <c r="T562" s="12" t="s">
        <v>32</v>
      </c>
      <c r="U562" s="12" t="s">
        <v>383</v>
      </c>
      <c r="V562" s="3" t="s">
        <v>10</v>
      </c>
      <c r="W562" s="640">
        <f>IF(Provozování!$AU$16="Aktivní",O562,F562)</f>
        <v>0</v>
      </c>
      <c r="X562" s="44">
        <f>IF(Provozování!$AU$16="Neaktivní",F562,O562)</f>
        <v>0</v>
      </c>
      <c r="Y562" s="44">
        <f>W562-X562</f>
        <v>0</v>
      </c>
      <c r="Z562" s="640">
        <f>IF(Provozování!$AU$16="Aktivní",Q562,H562)</f>
        <v>0</v>
      </c>
      <c r="AA562" s="44">
        <f>IF(Provozování!$AU$16="Neaktivní",H562,Q562)</f>
        <v>0</v>
      </c>
      <c r="AB562" s="30">
        <f>Z562-AA562</f>
        <v>0</v>
      </c>
      <c r="AC562" s="146"/>
      <c r="AD562" s="146"/>
      <c r="AK562" s="146"/>
      <c r="AL562" s="146"/>
      <c r="AM562" s="146"/>
      <c r="AN562" s="146"/>
    </row>
    <row r="563" spans="2:40" x14ac:dyDescent="0.25">
      <c r="B563" s="12" t="s">
        <v>33</v>
      </c>
      <c r="C563" s="12" t="s">
        <v>382</v>
      </c>
      <c r="D563" s="3" t="s">
        <v>10</v>
      </c>
      <c r="E563" s="44">
        <v>0</v>
      </c>
      <c r="F563" s="637">
        <f>IF(YEAR(Postup!$H$25)&gt;$D$536,Provozování!AS36,IF(AND(DAY(Postup!$H$25)=31,MONTH(Postup!$H$25)=12,YEAR(Postup!$H$25)=$D$536),Provozování!AS36,IF(YEAR(Postup!$H$25)=$D$536,Provozování!$BL36,0)))</f>
        <v>0</v>
      </c>
      <c r="G563" s="44">
        <v>0</v>
      </c>
      <c r="H563" s="636">
        <f>IF(YEAR(Postup!$H$25)&gt;$D$536,Provozování!AT36,IF(AND(DAY(Postup!$H$25)=31,MONTH(Postup!$H$25)=12,YEAR(Postup!$H$25)=$D$536),Provozování!AT36,IF(YEAR(Postup!$H$25)=$D$536,Provozování!$BM36,0)))</f>
        <v>0</v>
      </c>
      <c r="K563" s="12" t="s">
        <v>33</v>
      </c>
      <c r="L563" s="12" t="s">
        <v>382</v>
      </c>
      <c r="M563" s="3" t="s">
        <v>10</v>
      </c>
      <c r="N563" s="44">
        <v>0</v>
      </c>
      <c r="O563" s="640">
        <f>IF(Provozování!$AU$16="Neaktivní",0,Provozování!AU36)</f>
        <v>0</v>
      </c>
      <c r="P563" s="44">
        <v>0</v>
      </c>
      <c r="Q563" s="772">
        <f>IF(Provozování!$AU$16="Neaktivní",0,Provozování!AV36)</f>
        <v>0</v>
      </c>
      <c r="T563" s="12" t="s">
        <v>33</v>
      </c>
      <c r="U563" s="12" t="s">
        <v>382</v>
      </c>
      <c r="V563" s="3" t="s">
        <v>10</v>
      </c>
      <c r="W563" s="462">
        <v>0</v>
      </c>
      <c r="X563" s="44">
        <f>IF(Provozování!$AU$16="Neaktivní",F563,O563)</f>
        <v>0</v>
      </c>
      <c r="Y563" s="44">
        <f>W563-X563</f>
        <v>0</v>
      </c>
      <c r="Z563" s="462">
        <v>0</v>
      </c>
      <c r="AA563" s="44">
        <f>IF(Provozování!$AU$16="Neaktivní",H563,Q563)</f>
        <v>0</v>
      </c>
      <c r="AB563" s="30">
        <f>Z563-AA563</f>
        <v>0</v>
      </c>
      <c r="AC563" s="146"/>
      <c r="AD563" s="146"/>
      <c r="AK563" s="146"/>
      <c r="AL563" s="146"/>
      <c r="AM563" s="146"/>
      <c r="AN563" s="146"/>
    </row>
    <row r="564" spans="2:40" x14ac:dyDescent="0.25">
      <c r="B564" s="12" t="s">
        <v>34</v>
      </c>
      <c r="C564" s="497" t="s">
        <v>384</v>
      </c>
      <c r="D564" s="3" t="s">
        <v>10</v>
      </c>
      <c r="E564" s="44">
        <v>0</v>
      </c>
      <c r="F564" s="666">
        <f>IF(YEAR(Postup!$H$25)&gt;$D$536,Provozování!AS37,IF(AND(DAY(Postup!$H$25)=31,MONTH(Postup!$H$25)=12,YEAR(Postup!$H$25)=$D$536),Provozování!AS37,IF(YEAR(Postup!$H$25)=$D$536,Provozování!$BL37,0)))</f>
        <v>0</v>
      </c>
      <c r="G564" s="44">
        <v>0</v>
      </c>
      <c r="H564" s="667">
        <f>IF(YEAR(Postup!$H$25)&gt;$D$536,Provozování!AT37,IF(AND(DAY(Postup!$H$25)=31,MONTH(Postup!$H$25)=12,YEAR(Postup!$H$25)=$D$536),Provozování!AT37,IF(YEAR(Postup!$H$25)=$D$536,Provozování!$BM37,0)))</f>
        <v>0</v>
      </c>
      <c r="K564" s="12" t="s">
        <v>34</v>
      </c>
      <c r="L564" s="497" t="s">
        <v>384</v>
      </c>
      <c r="M564" s="3" t="s">
        <v>10</v>
      </c>
      <c r="N564" s="44">
        <v>0</v>
      </c>
      <c r="O564" s="666">
        <f>IF(Provozování!$AU$16="Neaktivní",0,Provozování!AU37)</f>
        <v>0</v>
      </c>
      <c r="P564" s="44">
        <v>0</v>
      </c>
      <c r="Q564" s="667">
        <f>IF(Provozování!$AU$16="Neaktivní",0,Provozování!AV37)</f>
        <v>0</v>
      </c>
      <c r="T564" s="12" t="s">
        <v>34</v>
      </c>
      <c r="U564" s="497" t="s">
        <v>384</v>
      </c>
      <c r="V564" s="3" t="s">
        <v>10</v>
      </c>
      <c r="W564" s="637">
        <f>IF(Provozování!$AU$16="Aktivní",O564,F564)</f>
        <v>0</v>
      </c>
      <c r="X564" s="337">
        <f>IF(Provozování!$AU$16="Neaktivní",F564,O564)</f>
        <v>0</v>
      </c>
      <c r="Y564" s="337">
        <f>W564-X564</f>
        <v>0</v>
      </c>
      <c r="Z564" s="637">
        <f>IF(Provozování!$AU$16="Aktivní",Q564,H564)</f>
        <v>0</v>
      </c>
      <c r="AA564" s="337">
        <f>IF(Provozování!$AU$16="Neaktivní",H564,Q564)</f>
        <v>0</v>
      </c>
      <c r="AB564" s="334">
        <f>Z564-AA564</f>
        <v>0</v>
      </c>
      <c r="AC564" s="146"/>
      <c r="AD564" s="146"/>
      <c r="AE564" s="1073" t="s">
        <v>291</v>
      </c>
      <c r="AF564" s="1074"/>
      <c r="AG564" s="339">
        <f>Y546</f>
        <v>2031</v>
      </c>
      <c r="AH564" s="339">
        <f>AG564</f>
        <v>2031</v>
      </c>
      <c r="AK564" s="146"/>
      <c r="AL564" s="146"/>
      <c r="AM564" s="146"/>
      <c r="AN564" s="146"/>
    </row>
    <row r="565" spans="2:40" x14ac:dyDescent="0.25">
      <c r="B565" s="9" t="s">
        <v>35</v>
      </c>
      <c r="C565" s="10" t="s">
        <v>387</v>
      </c>
      <c r="D565" s="11" t="s">
        <v>10</v>
      </c>
      <c r="E565" s="41">
        <f>SUM(E566:E568)</f>
        <v>0</v>
      </c>
      <c r="F565" s="41">
        <f>SUM(F566:F568)</f>
        <v>0</v>
      </c>
      <c r="G565" s="41">
        <f>SUM(G566:G568)</f>
        <v>0</v>
      </c>
      <c r="H565" s="86">
        <f>SUM(H566:H568)</f>
        <v>0</v>
      </c>
      <c r="K565" s="9" t="s">
        <v>35</v>
      </c>
      <c r="L565" s="10" t="s">
        <v>387</v>
      </c>
      <c r="M565" s="11" t="s">
        <v>10</v>
      </c>
      <c r="N565" s="41">
        <f>SUM(N566:N568)</f>
        <v>0</v>
      </c>
      <c r="O565" s="41">
        <f>SUM(O566:O568)</f>
        <v>0</v>
      </c>
      <c r="P565" s="41">
        <f>SUM(P566:P568)</f>
        <v>0</v>
      </c>
      <c r="Q565" s="86">
        <f>SUM(Q566:Q568)</f>
        <v>0</v>
      </c>
      <c r="T565" s="9" t="s">
        <v>35</v>
      </c>
      <c r="U565" s="10" t="s">
        <v>387</v>
      </c>
      <c r="V565" s="11" t="s">
        <v>10</v>
      </c>
      <c r="W565" s="86">
        <f t="shared" ref="W565:AB565" si="62">SUM(W566:W568)</f>
        <v>0</v>
      </c>
      <c r="X565" s="86">
        <f t="shared" si="62"/>
        <v>0</v>
      </c>
      <c r="Y565" s="86">
        <f t="shared" si="62"/>
        <v>0</v>
      </c>
      <c r="Z565" s="86">
        <f t="shared" si="62"/>
        <v>0</v>
      </c>
      <c r="AA565" s="86">
        <f t="shared" si="62"/>
        <v>0</v>
      </c>
      <c r="AB565" s="86">
        <f t="shared" si="62"/>
        <v>0</v>
      </c>
      <c r="AC565" s="146"/>
      <c r="AD565" s="146"/>
      <c r="AE565" s="1075"/>
      <c r="AF565" s="1076"/>
      <c r="AG565" s="1072" t="s">
        <v>238</v>
      </c>
      <c r="AH565" s="1072" t="s">
        <v>239</v>
      </c>
      <c r="AK565" s="146"/>
      <c r="AL565" s="146"/>
      <c r="AM565" s="146"/>
      <c r="AN565" s="146"/>
    </row>
    <row r="566" spans="2:40" x14ac:dyDescent="0.25">
      <c r="B566" s="12" t="s">
        <v>37</v>
      </c>
      <c r="C566" s="13" t="s">
        <v>38</v>
      </c>
      <c r="D566" s="3" t="s">
        <v>10</v>
      </c>
      <c r="E566" s="44">
        <v>0</v>
      </c>
      <c r="F566" s="337">
        <v>0</v>
      </c>
      <c r="G566" s="44">
        <v>0</v>
      </c>
      <c r="H566" s="30">
        <f>IF(YEAR(Postup!$H$25)&gt;$D$536,Provozování!AT39,IF(AND(DAY(Postup!$H$25)=31,MONTH(Postup!$H$25)=12,YEAR(Postup!$H$25)=$D$536),Provozování!AT39,IF(YEAR(Postup!$H$25)=$D$536,Provozování!$BM39,0)))</f>
        <v>0</v>
      </c>
      <c r="K566" s="12" t="s">
        <v>37</v>
      </c>
      <c r="L566" s="13" t="s">
        <v>38</v>
      </c>
      <c r="M566" s="3" t="s">
        <v>10</v>
      </c>
      <c r="N566" s="44">
        <v>0</v>
      </c>
      <c r="O566" s="337">
        <v>0</v>
      </c>
      <c r="P566" s="44">
        <v>0</v>
      </c>
      <c r="Q566" s="53">
        <f>IF(Provozování!$AU$16="Neaktivní",0,Provozování!AV39)</f>
        <v>0</v>
      </c>
      <c r="T566" s="12" t="s">
        <v>37</v>
      </c>
      <c r="U566" s="13" t="s">
        <v>38</v>
      </c>
      <c r="V566" s="3" t="s">
        <v>10</v>
      </c>
      <c r="W566" s="337">
        <v>0</v>
      </c>
      <c r="X566" s="337">
        <v>0</v>
      </c>
      <c r="Y566" s="337">
        <v>0</v>
      </c>
      <c r="Z566" s="462">
        <v>0</v>
      </c>
      <c r="AA566" s="44">
        <f>IF(Provozování!$AU$16="Neaktivní",H566,Q566)</f>
        <v>0</v>
      </c>
      <c r="AB566" s="30">
        <f>Z566-AA566</f>
        <v>0</v>
      </c>
      <c r="AC566" s="146"/>
      <c r="AD566" s="146"/>
      <c r="AE566" s="1077"/>
      <c r="AF566" s="1078"/>
      <c r="AG566" s="1000"/>
      <c r="AH566" s="1000"/>
      <c r="AK566" s="146"/>
      <c r="AL566" s="146"/>
      <c r="AM566" s="146"/>
      <c r="AN566" s="146"/>
    </row>
    <row r="567" spans="2:40" x14ac:dyDescent="0.25">
      <c r="B567" s="12" t="s">
        <v>39</v>
      </c>
      <c r="C567" s="12" t="s">
        <v>40</v>
      </c>
      <c r="D567" s="3" t="s">
        <v>10</v>
      </c>
      <c r="E567" s="44">
        <v>0</v>
      </c>
      <c r="F567" s="457">
        <f>IF(YEAR(Postup!$H$25)&gt;$D$536,Provozování!AS40,IF(AND(DAY(Postup!$H$25)=31,MONTH(Postup!$H$25)=12,YEAR(Postup!$H$25)=$D$536),Provozování!AS40,IF(YEAR(Postup!$H$25)=$D$536,Provozování!$BL40,0)))</f>
        <v>0</v>
      </c>
      <c r="G567" s="44">
        <v>0</v>
      </c>
      <c r="H567" s="457">
        <f>IF(YEAR(Postup!$H$25)&gt;$D$536,Provozování!AT40,IF(AND(DAY(Postup!$H$25)=31,MONTH(Postup!$H$25)=12,YEAR(Postup!$H$25)=$D$536),Provozování!AT40,IF(YEAR(Postup!$H$25)=$D$536,Provozování!$BM40,0)))</f>
        <v>0</v>
      </c>
      <c r="K567" s="12" t="s">
        <v>39</v>
      </c>
      <c r="L567" s="12" t="s">
        <v>40</v>
      </c>
      <c r="M567" s="3" t="s">
        <v>10</v>
      </c>
      <c r="N567" s="44">
        <v>0</v>
      </c>
      <c r="O567" s="457">
        <f>IF(Provozování!$AU$16="Neaktivní",0,Provozování!AU40)</f>
        <v>0</v>
      </c>
      <c r="P567" s="44">
        <v>0</v>
      </c>
      <c r="Q567" s="457">
        <f>IF(Provozování!$AU$16="Neaktivní",0,Provozování!AV40)</f>
        <v>0</v>
      </c>
      <c r="T567" s="12" t="s">
        <v>39</v>
      </c>
      <c r="U567" s="12" t="s">
        <v>40</v>
      </c>
      <c r="V567" s="3" t="s">
        <v>10</v>
      </c>
      <c r="W567" s="462">
        <v>0</v>
      </c>
      <c r="X567" s="44">
        <f>IF(Provozování!$AU$16="Neaktivní",F567,O567)</f>
        <v>0</v>
      </c>
      <c r="Y567" s="44">
        <f>W567-X567</f>
        <v>0</v>
      </c>
      <c r="Z567" s="462">
        <v>0</v>
      </c>
      <c r="AA567" s="44">
        <f>IF(Provozování!$AU$16="Neaktivní",H567,Q567)</f>
        <v>0</v>
      </c>
      <c r="AB567" s="30">
        <f>Z567-AA567</f>
        <v>0</v>
      </c>
      <c r="AC567" s="146"/>
      <c r="AD567" s="146"/>
      <c r="AE567" s="12" t="s">
        <v>326</v>
      </c>
      <c r="AF567" s="12" t="s">
        <v>329</v>
      </c>
      <c r="AG567" s="423">
        <f>Z602</f>
        <v>0</v>
      </c>
      <c r="AH567" s="423">
        <f>AB602</f>
        <v>0</v>
      </c>
      <c r="AK567" s="146"/>
      <c r="AL567" s="146"/>
      <c r="AM567" s="146"/>
      <c r="AN567" s="146"/>
    </row>
    <row r="568" spans="2:40" x14ac:dyDescent="0.25">
      <c r="B568" s="12" t="s">
        <v>41</v>
      </c>
      <c r="C568" s="13" t="s">
        <v>42</v>
      </c>
      <c r="D568" s="3" t="s">
        <v>10</v>
      </c>
      <c r="E568" s="44">
        <v>0</v>
      </c>
      <c r="F568" s="457">
        <f>IF(YEAR(Postup!$H$25)&gt;$D$536,Provozování!AS41,IF(AND(DAY(Postup!$H$25)=31,MONTH(Postup!$H$25)=12,YEAR(Postup!$H$25)=$D$536),Provozování!AS41,IF(YEAR(Postup!$H$25)=$D$536,Provozování!$BL41,0)))</f>
        <v>0</v>
      </c>
      <c r="G568" s="44">
        <v>0</v>
      </c>
      <c r="H568" s="457">
        <f>IF(YEAR(Postup!$H$25)&gt;$D$536,Provozování!AT41,IF(AND(DAY(Postup!$H$25)=31,MONTH(Postup!$H$25)=12,YEAR(Postup!$H$25)=$D$536),Provozování!AT41,IF(YEAR(Postup!$H$25)=$D$536,Provozování!$BM41,0)))</f>
        <v>0</v>
      </c>
      <c r="K568" s="12" t="s">
        <v>41</v>
      </c>
      <c r="L568" s="13" t="s">
        <v>42</v>
      </c>
      <c r="M568" s="3" t="s">
        <v>10</v>
      </c>
      <c r="N568" s="44">
        <v>0</v>
      </c>
      <c r="O568" s="457">
        <f>IF(Provozování!$AU$16="Neaktivní",0,Provozování!AU41)</f>
        <v>0</v>
      </c>
      <c r="P568" s="44">
        <v>0</v>
      </c>
      <c r="Q568" s="457">
        <f>IF(Provozování!$AU$16="Neaktivní",0,Provozování!AV41)</f>
        <v>0</v>
      </c>
      <c r="T568" s="12" t="s">
        <v>41</v>
      </c>
      <c r="U568" s="13" t="s">
        <v>42</v>
      </c>
      <c r="V568" s="3" t="s">
        <v>10</v>
      </c>
      <c r="W568" s="462">
        <v>0</v>
      </c>
      <c r="X568" s="44">
        <f>IF(Provozování!$AU$16="Neaktivní",F568,O568)</f>
        <v>0</v>
      </c>
      <c r="Y568" s="44">
        <f>W568-X568</f>
        <v>0</v>
      </c>
      <c r="Z568" s="462">
        <v>0</v>
      </c>
      <c r="AA568" s="44">
        <f>IF(Provozování!$AU$16="Neaktivní",H568,Q568)</f>
        <v>0</v>
      </c>
      <c r="AB568" s="30">
        <f>Z568-AA568</f>
        <v>0</v>
      </c>
      <c r="AC568" s="146"/>
      <c r="AD568" s="146"/>
      <c r="AE568" s="12" t="s">
        <v>327</v>
      </c>
      <c r="AF568" s="13" t="s">
        <v>331</v>
      </c>
      <c r="AG568" s="270">
        <f>Y601</f>
        <v>0</v>
      </c>
      <c r="AH568" s="270">
        <f>AA601</f>
        <v>0</v>
      </c>
      <c r="AK568" s="146"/>
      <c r="AL568" s="146"/>
      <c r="AM568" s="146"/>
      <c r="AN568" s="146"/>
    </row>
    <row r="569" spans="2:40" x14ac:dyDescent="0.25">
      <c r="B569" s="9" t="s">
        <v>43</v>
      </c>
      <c r="C569" s="10" t="s">
        <v>44</v>
      </c>
      <c r="D569" s="11" t="s">
        <v>10</v>
      </c>
      <c r="E569" s="44">
        <v>0</v>
      </c>
      <c r="F569" s="456">
        <f>IF(YEAR(Postup!$H$25)&gt;$D$536,Provozování!AS42,IF(AND(DAY(Postup!$H$25)=31,MONTH(Postup!$H$25)=12,YEAR(Postup!$H$25)=$D$536),Provozování!AS42,IF(YEAR(Postup!$H$25)=$D$536,Provozování!$BL42,0)))</f>
        <v>0</v>
      </c>
      <c r="G569" s="44">
        <v>0</v>
      </c>
      <c r="H569" s="457">
        <f>IF(YEAR(Postup!$H$25)&gt;$D$536,Provozování!AT42,IF(AND(DAY(Postup!$H$25)=31,MONTH(Postup!$H$25)=12,YEAR(Postup!$H$25)=$D$536),Provozování!AT42,IF(YEAR(Postup!$H$25)=$D$536,Provozování!$BM42,0)))</f>
        <v>0</v>
      </c>
      <c r="K569" s="9" t="s">
        <v>43</v>
      </c>
      <c r="L569" s="10" t="s">
        <v>44</v>
      </c>
      <c r="M569" s="11" t="s">
        <v>10</v>
      </c>
      <c r="N569" s="44">
        <v>0</v>
      </c>
      <c r="O569" s="456">
        <f>IF(Provozování!$AU$16="Neaktivní",0,Provozování!AU42)</f>
        <v>0</v>
      </c>
      <c r="P569" s="44">
        <v>0</v>
      </c>
      <c r="Q569" s="461">
        <f>IF(Provozování!$AU$16="Neaktivní",0,Provozování!AV42)</f>
        <v>0</v>
      </c>
      <c r="T569" s="9" t="s">
        <v>43</v>
      </c>
      <c r="U569" s="10" t="s">
        <v>44</v>
      </c>
      <c r="V569" s="11" t="s">
        <v>10</v>
      </c>
      <c r="W569" s="462">
        <v>0</v>
      </c>
      <c r="X569" s="44">
        <f>IF(Provozování!$AU$16="Neaktivní",F569,O569)</f>
        <v>0</v>
      </c>
      <c r="Y569" s="44">
        <f>W569-X569</f>
        <v>0</v>
      </c>
      <c r="Z569" s="462">
        <v>0</v>
      </c>
      <c r="AA569" s="44">
        <f>IF(Provozování!$AU$16="Neaktivní",H569,Q569)</f>
        <v>0</v>
      </c>
      <c r="AB569" s="30">
        <f>Z569-AA569</f>
        <v>0</v>
      </c>
      <c r="AC569" s="146"/>
      <c r="AD569" s="146"/>
      <c r="AE569" s="12" t="s">
        <v>328</v>
      </c>
      <c r="AF569" s="13" t="s">
        <v>330</v>
      </c>
      <c r="AG569" s="270">
        <f>Z601</f>
        <v>0</v>
      </c>
      <c r="AH569" s="270">
        <f>AB601</f>
        <v>0</v>
      </c>
      <c r="AK569" s="146"/>
      <c r="AL569" s="146"/>
      <c r="AM569" s="146"/>
      <c r="AN569" s="146"/>
    </row>
    <row r="570" spans="2:40" x14ac:dyDescent="0.25">
      <c r="B570" s="9" t="s">
        <v>45</v>
      </c>
      <c r="C570" s="10" t="s">
        <v>388</v>
      </c>
      <c r="D570" s="11" t="s">
        <v>10</v>
      </c>
      <c r="E570" s="44">
        <v>0</v>
      </c>
      <c r="F570" s="456">
        <f>IF(YEAR(Postup!$H$25)&gt;$D$536,Provozování!AS43,IF(AND(DAY(Postup!$H$25)=31,MONTH(Postup!$H$25)=12,YEAR(Postup!$H$25)=$D$536),Provozování!AS43,IF(YEAR(Postup!$H$25)=$D$536,Provozování!$BL43,0)))</f>
        <v>0</v>
      </c>
      <c r="G570" s="44">
        <v>0</v>
      </c>
      <c r="H570" s="457">
        <f>IF(YEAR(Postup!$H$25)&gt;$D$536,Provozování!AT43,IF(AND(DAY(Postup!$H$25)=31,MONTH(Postup!$H$25)=12,YEAR(Postup!$H$25)=$D$536),Provozování!AT43,IF(YEAR(Postup!$H$25)=$D$536,Provozování!$BM43,0)))</f>
        <v>0</v>
      </c>
      <c r="K570" s="9" t="s">
        <v>45</v>
      </c>
      <c r="L570" s="10" t="s">
        <v>388</v>
      </c>
      <c r="M570" s="11" t="s">
        <v>10</v>
      </c>
      <c r="N570" s="44">
        <v>0</v>
      </c>
      <c r="O570" s="456">
        <f>IF(Provozování!$AU$16="Neaktivní",0,Provozování!AU43)</f>
        <v>0</v>
      </c>
      <c r="P570" s="44">
        <v>0</v>
      </c>
      <c r="Q570" s="461">
        <f>IF(Provozování!$AU$16="Neaktivní",0,Provozování!AV43)</f>
        <v>0</v>
      </c>
      <c r="T570" s="9" t="s">
        <v>45</v>
      </c>
      <c r="U570" s="10" t="s">
        <v>388</v>
      </c>
      <c r="V570" s="11" t="s">
        <v>10</v>
      </c>
      <c r="W570" s="462">
        <v>0</v>
      </c>
      <c r="X570" s="44">
        <f>IF(Provozování!$AU$16="Neaktivní",F570,O570)</f>
        <v>0</v>
      </c>
      <c r="Y570" s="44">
        <f>ABS(W570)-ABS(X570)</f>
        <v>0</v>
      </c>
      <c r="Z570" s="462">
        <v>0</v>
      </c>
      <c r="AA570" s="44">
        <f>IF(Provozování!$AU$16="Neaktivní",H570,Q570)</f>
        <v>0</v>
      </c>
      <c r="AB570" s="30">
        <f>ABS(Z570)-ABS(AA570)</f>
        <v>0</v>
      </c>
      <c r="AC570" s="146"/>
      <c r="AD570" s="146"/>
      <c r="AE570" s="12" t="s">
        <v>332</v>
      </c>
      <c r="AF570" s="12" t="s">
        <v>340</v>
      </c>
      <c r="AG570" s="270">
        <f>X574-(X562+X564)</f>
        <v>0</v>
      </c>
      <c r="AH570" s="270">
        <f>AA574-(AA562+AA564)</f>
        <v>0</v>
      </c>
      <c r="AK570" s="146"/>
      <c r="AL570" s="146"/>
      <c r="AM570" s="146"/>
      <c r="AN570" s="146"/>
    </row>
    <row r="571" spans="2:40" x14ac:dyDescent="0.25">
      <c r="B571" s="9" t="s">
        <v>46</v>
      </c>
      <c r="C571" s="10" t="s">
        <v>47</v>
      </c>
      <c r="D571" s="11" t="s">
        <v>10</v>
      </c>
      <c r="E571" s="44">
        <v>0</v>
      </c>
      <c r="F571" s="457">
        <f>IF(YEAR(Postup!$H$25)&gt;$D$536,Provozování!AS44,IF(AND(DAY(Postup!$H$25)=31,MONTH(Postup!$H$25)=12,YEAR(Postup!$H$25)=$D$536),Provozování!AS44,IF(YEAR(Postup!$H$25)=$D$536,Provozování!$BL44,0)))</f>
        <v>0</v>
      </c>
      <c r="G571" s="44">
        <v>0</v>
      </c>
      <c r="H571" s="457">
        <f>IF(YEAR(Postup!$H$25)&gt;$D$536,Provozování!AT44,IF(AND(DAY(Postup!$H$25)=31,MONTH(Postup!$H$25)=12,YEAR(Postup!$H$25)=$D$536),Provozování!AT44,IF(YEAR(Postup!$H$25)=$D$536,Provozování!$BM44,0)))</f>
        <v>0</v>
      </c>
      <c r="K571" s="9" t="s">
        <v>46</v>
      </c>
      <c r="L571" s="10" t="s">
        <v>47</v>
      </c>
      <c r="M571" s="11" t="s">
        <v>10</v>
      </c>
      <c r="N571" s="44">
        <v>0</v>
      </c>
      <c r="O571" s="457">
        <f>IF(Provozování!$AU$16="Neaktivní",0,Provozování!AU44)</f>
        <v>0</v>
      </c>
      <c r="P571" s="44">
        <v>0</v>
      </c>
      <c r="Q571" s="457">
        <f>IF(Provozování!$AU$16="Neaktivní",0,Provozování!AV44)</f>
        <v>0</v>
      </c>
      <c r="T571" s="9" t="s">
        <v>46</v>
      </c>
      <c r="U571" s="10" t="s">
        <v>47</v>
      </c>
      <c r="V571" s="11" t="s">
        <v>10</v>
      </c>
      <c r="W571" s="462">
        <v>0</v>
      </c>
      <c r="X571" s="44">
        <f>IF(Provozování!$AU$16="Neaktivní",F571,O571)</f>
        <v>0</v>
      </c>
      <c r="Y571" s="44">
        <f>W571-X571</f>
        <v>0</v>
      </c>
      <c r="Z571" s="462">
        <v>0</v>
      </c>
      <c r="AA571" s="44">
        <f>IF(Provozování!$AU$16="Neaktivní",H571,Q571)</f>
        <v>0</v>
      </c>
      <c r="AB571" s="30">
        <f>Z571-AA571</f>
        <v>0</v>
      </c>
      <c r="AC571" s="146"/>
      <c r="AD571" s="146"/>
      <c r="AE571" s="12" t="s">
        <v>333</v>
      </c>
      <c r="AF571" s="12" t="s">
        <v>339</v>
      </c>
      <c r="AG571" s="270">
        <f>W574-(W562+W564)</f>
        <v>0</v>
      </c>
      <c r="AH571" s="270">
        <f>Z574-(Z562+Z564)</f>
        <v>0</v>
      </c>
      <c r="AK571" s="146"/>
      <c r="AL571" s="146"/>
      <c r="AM571" s="146"/>
      <c r="AN571" s="146"/>
    </row>
    <row r="572" spans="2:40" x14ac:dyDescent="0.25">
      <c r="B572" s="9" t="s">
        <v>48</v>
      </c>
      <c r="C572" s="10" t="s">
        <v>49</v>
      </c>
      <c r="D572" s="11" t="s">
        <v>10</v>
      </c>
      <c r="E572" s="44">
        <v>0</v>
      </c>
      <c r="F572" s="457">
        <f>IF(YEAR(Postup!$H$25)&gt;$D$536,Provozování!AS45,IF(AND(DAY(Postup!$H$25)=31,MONTH(Postup!$H$25)=12,YEAR(Postup!$H$25)=$D$536),Provozování!AS45,IF(YEAR(Postup!$H$25)=$D$536,Provozování!$BL45,0)))</f>
        <v>0</v>
      </c>
      <c r="G572" s="44">
        <v>0</v>
      </c>
      <c r="H572" s="457">
        <f>IF(YEAR(Postup!$H$25)&gt;$D$536,Provozování!AT45,IF(AND(DAY(Postup!$H$25)=31,MONTH(Postup!$H$25)=12,YEAR(Postup!$H$25)=$D$536),Provozování!AT45,IF(YEAR(Postup!$H$25)=$D$536,Provozování!$BM45,0)))</f>
        <v>0</v>
      </c>
      <c r="K572" s="9" t="s">
        <v>48</v>
      </c>
      <c r="L572" s="10" t="s">
        <v>49</v>
      </c>
      <c r="M572" s="11" t="s">
        <v>10</v>
      </c>
      <c r="N572" s="44">
        <v>0</v>
      </c>
      <c r="O572" s="457">
        <f>IF(Provozování!$AU$16="Neaktivní",0,Provozování!AU45)</f>
        <v>0</v>
      </c>
      <c r="P572" s="44">
        <v>0</v>
      </c>
      <c r="Q572" s="457">
        <f>IF(Provozování!$AU$16="Neaktivní",0,Provozování!AV45)</f>
        <v>0</v>
      </c>
      <c r="T572" s="9" t="s">
        <v>48</v>
      </c>
      <c r="U572" s="10" t="s">
        <v>49</v>
      </c>
      <c r="V572" s="11" t="s">
        <v>10</v>
      </c>
      <c r="W572" s="462">
        <v>0</v>
      </c>
      <c r="X572" s="44">
        <f>IF(Provozování!$AU$16="Neaktivní",F572,O572)</f>
        <v>0</v>
      </c>
      <c r="Y572" s="44">
        <f>W572-X572</f>
        <v>0</v>
      </c>
      <c r="Z572" s="462">
        <v>0</v>
      </c>
      <c r="AA572" s="44">
        <f>IF(Provozování!$AU$16="Neaktivní",H572,Q572)</f>
        <v>0</v>
      </c>
      <c r="AB572" s="30">
        <f>Z572-AA572</f>
        <v>0</v>
      </c>
      <c r="AC572" s="146"/>
      <c r="AD572" s="146"/>
      <c r="AE572" s="12" t="s">
        <v>345</v>
      </c>
      <c r="AF572" s="12" t="s">
        <v>346</v>
      </c>
      <c r="AG572" s="270">
        <f>Provozování!AS$102</f>
        <v>0</v>
      </c>
      <c r="AH572" s="270">
        <f>Provozování!AT$102</f>
        <v>0</v>
      </c>
      <c r="AK572" s="146"/>
      <c r="AL572" s="146"/>
      <c r="AM572" s="146"/>
      <c r="AN572" s="146"/>
    </row>
    <row r="573" spans="2:40" x14ac:dyDescent="0.25">
      <c r="B573" s="12" t="s">
        <v>386</v>
      </c>
      <c r="C573" s="12" t="s">
        <v>385</v>
      </c>
      <c r="D573" s="533" t="s">
        <v>10</v>
      </c>
      <c r="E573" s="44"/>
      <c r="F573" s="456">
        <f>Provozování!AS46</f>
        <v>0.02</v>
      </c>
      <c r="G573" s="44"/>
      <c r="H573" s="457">
        <f>Provozování!AT46</f>
        <v>0.02</v>
      </c>
      <c r="K573" s="12" t="s">
        <v>386</v>
      </c>
      <c r="L573" s="12" t="s">
        <v>385</v>
      </c>
      <c r="M573" s="3" t="s">
        <v>10</v>
      </c>
      <c r="N573" s="44"/>
      <c r="O573" s="456">
        <f>IF(Provozování!$AU$16="Neaktivní",0,Provozování!AU46)</f>
        <v>0</v>
      </c>
      <c r="P573" s="44"/>
      <c r="Q573" s="457">
        <f>IF(Provozování!$AU$16="Neaktivní",0,Provozování!AV46)</f>
        <v>0</v>
      </c>
      <c r="T573" s="12" t="s">
        <v>386</v>
      </c>
      <c r="U573" s="12" t="s">
        <v>385</v>
      </c>
      <c r="V573" s="3" t="s">
        <v>10</v>
      </c>
      <c r="W573" s="462">
        <v>0</v>
      </c>
      <c r="X573" s="44"/>
      <c r="Y573" s="44"/>
      <c r="Z573" s="462">
        <v>0</v>
      </c>
      <c r="AA573" s="44"/>
      <c r="AB573" s="30"/>
      <c r="AC573" s="146"/>
      <c r="AD573" s="146"/>
      <c r="AE573" s="435" t="s">
        <v>349</v>
      </c>
      <c r="AF573" s="436"/>
      <c r="AG573" s="1066">
        <f>(AG567*AG568-AG567*AG569)+(AG570-AG571)-AG572</f>
        <v>0</v>
      </c>
      <c r="AH573" s="1066">
        <f>(AH567*AH568-AH567*AH569)+(AH570-AH571)-AH572</f>
        <v>0</v>
      </c>
      <c r="AK573" s="146"/>
      <c r="AL573" s="146"/>
      <c r="AM573" s="146"/>
      <c r="AN573" s="146"/>
    </row>
    <row r="574" spans="2:40" x14ac:dyDescent="0.25">
      <c r="B574" s="9" t="s">
        <v>50</v>
      </c>
      <c r="C574" s="10" t="s">
        <v>391</v>
      </c>
      <c r="D574" s="11" t="s">
        <v>10</v>
      </c>
      <c r="E574" s="41">
        <f>E549+E554+E557+E560+E565+E569+E570+E571+E572</f>
        <v>0</v>
      </c>
      <c r="F574" s="41">
        <f>F549+F554+F557+F560+F565+F569+F570+F571+F572</f>
        <v>0</v>
      </c>
      <c r="G574" s="41">
        <f>G549+G554+G557+G560+G565+G569+G570+G571+G572</f>
        <v>0</v>
      </c>
      <c r="H574" s="86">
        <f>H549+H554+H557+H560+H565+H569+H570+H571+H572</f>
        <v>0</v>
      </c>
      <c r="K574" s="9" t="s">
        <v>50</v>
      </c>
      <c r="L574" s="10" t="s">
        <v>391</v>
      </c>
      <c r="M574" s="11" t="s">
        <v>10</v>
      </c>
      <c r="N574" s="41">
        <f>N549+N554+N557+N560+N565+N569+N570+N571+N572</f>
        <v>0</v>
      </c>
      <c r="O574" s="41">
        <f>O549+O554+O557+O560+O565+O569+O570+O571+O572</f>
        <v>0</v>
      </c>
      <c r="P574" s="41">
        <f>P549+P554+P557+P560+P565+P569+P570+P571+P572</f>
        <v>0</v>
      </c>
      <c r="Q574" s="86">
        <f>Q549+Q554+Q557+Q560+Q565+Q569+Q570+Q571+Q572</f>
        <v>0</v>
      </c>
      <c r="T574" s="9" t="s">
        <v>50</v>
      </c>
      <c r="U574" s="10" t="s">
        <v>391</v>
      </c>
      <c r="V574" s="11" t="s">
        <v>10</v>
      </c>
      <c r="W574" s="41">
        <f t="shared" ref="W574:AB574" si="63">W549+W554+W557+W560+W565+W569+W570+W571+W572</f>
        <v>0</v>
      </c>
      <c r="X574" s="41">
        <f t="shared" si="63"/>
        <v>0</v>
      </c>
      <c r="Y574" s="41">
        <f t="shared" si="63"/>
        <v>0</v>
      </c>
      <c r="Z574" s="41">
        <f t="shared" si="63"/>
        <v>0</v>
      </c>
      <c r="AA574" s="41">
        <f t="shared" si="63"/>
        <v>0</v>
      </c>
      <c r="AB574" s="86">
        <f t="shared" si="63"/>
        <v>0</v>
      </c>
      <c r="AC574" s="146"/>
      <c r="AD574" s="146"/>
      <c r="AE574" s="425" t="s">
        <v>347</v>
      </c>
      <c r="AF574" s="424"/>
      <c r="AG574" s="1067"/>
      <c r="AH574" s="1067"/>
      <c r="AK574" s="146"/>
      <c r="AL574" s="146"/>
      <c r="AM574" s="146"/>
      <c r="AN574" s="146"/>
    </row>
    <row r="575" spans="2:40" hidden="1" x14ac:dyDescent="0.25">
      <c r="B575" s="12" t="s">
        <v>389</v>
      </c>
      <c r="C575" s="13" t="s">
        <v>96</v>
      </c>
      <c r="D575" s="3" t="s">
        <v>10</v>
      </c>
      <c r="E575" s="329">
        <v>0</v>
      </c>
      <c r="F575" s="458">
        <f>F499</f>
        <v>0</v>
      </c>
      <c r="G575" s="329">
        <v>0</v>
      </c>
      <c r="H575" s="460">
        <f>H499</f>
        <v>0</v>
      </c>
      <c r="K575" s="12" t="s">
        <v>389</v>
      </c>
      <c r="L575" s="13" t="s">
        <v>96</v>
      </c>
      <c r="M575" s="3" t="s">
        <v>10</v>
      </c>
      <c r="N575" s="329">
        <v>0</v>
      </c>
      <c r="O575" s="329">
        <f>IF(Provozování!$V$16="Neaktivní",0,F575)</f>
        <v>0</v>
      </c>
      <c r="P575" s="329">
        <v>0</v>
      </c>
      <c r="Q575" s="330">
        <f>IF(Provozování!$V$16="Neaktivní",0,H575)</f>
        <v>0</v>
      </c>
      <c r="T575" s="42" t="s">
        <v>389</v>
      </c>
      <c r="U575" s="13" t="s">
        <v>96</v>
      </c>
      <c r="V575" s="3" t="s">
        <v>10</v>
      </c>
      <c r="W575" s="458">
        <v>0</v>
      </c>
      <c r="X575" s="329">
        <f>F575</f>
        <v>0</v>
      </c>
      <c r="Y575" s="329">
        <f>W575-X575</f>
        <v>0</v>
      </c>
      <c r="Z575" s="458">
        <v>0</v>
      </c>
      <c r="AA575" s="329">
        <f>F575</f>
        <v>0</v>
      </c>
      <c r="AB575" s="330">
        <f>Z575-AA575</f>
        <v>0</v>
      </c>
      <c r="AC575" s="146"/>
      <c r="AD575" s="146"/>
      <c r="AK575" s="146"/>
      <c r="AL575" s="146"/>
      <c r="AM575" s="146"/>
      <c r="AN575" s="146"/>
    </row>
    <row r="576" spans="2:40" hidden="1" x14ac:dyDescent="0.25">
      <c r="B576" s="12" t="s">
        <v>389</v>
      </c>
      <c r="C576" s="13" t="s">
        <v>97</v>
      </c>
      <c r="D576" s="3" t="s">
        <v>10</v>
      </c>
      <c r="E576" s="329">
        <v>0</v>
      </c>
      <c r="F576" s="458">
        <f>F500</f>
        <v>0</v>
      </c>
      <c r="G576" s="329">
        <v>0</v>
      </c>
      <c r="H576" s="460">
        <f>H500</f>
        <v>0</v>
      </c>
      <c r="K576" s="12" t="s">
        <v>389</v>
      </c>
      <c r="L576" s="13" t="s">
        <v>97</v>
      </c>
      <c r="M576" s="3" t="s">
        <v>10</v>
      </c>
      <c r="N576" s="329">
        <v>0</v>
      </c>
      <c r="O576" s="329">
        <f>IF(Provozování!$V$16="Neaktivní",0,F576)</f>
        <v>0</v>
      </c>
      <c r="P576" s="329">
        <v>0</v>
      </c>
      <c r="Q576" s="330">
        <f>IF(Provozování!$V$16="Neaktivní",0,H576)</f>
        <v>0</v>
      </c>
      <c r="T576" s="12" t="s">
        <v>389</v>
      </c>
      <c r="U576" s="13" t="s">
        <v>97</v>
      </c>
      <c r="V576" s="3" t="s">
        <v>10</v>
      </c>
      <c r="W576" s="458">
        <v>0</v>
      </c>
      <c r="X576" s="329">
        <f>F576</f>
        <v>0</v>
      </c>
      <c r="Y576" s="329">
        <f>W576-X576</f>
        <v>0</v>
      </c>
      <c r="Z576" s="458">
        <v>0</v>
      </c>
      <c r="AA576" s="329">
        <f>F576</f>
        <v>0</v>
      </c>
      <c r="AB576" s="330">
        <f>Z576-AA576</f>
        <v>0</v>
      </c>
      <c r="AC576" s="146"/>
      <c r="AD576" s="146"/>
      <c r="AK576" s="146"/>
      <c r="AL576" s="146"/>
      <c r="AM576" s="146"/>
      <c r="AN576" s="146"/>
    </row>
    <row r="577" spans="2:40" x14ac:dyDescent="0.25">
      <c r="B577" s="12" t="s">
        <v>51</v>
      </c>
      <c r="C577" s="13" t="s">
        <v>54</v>
      </c>
      <c r="D577" s="3" t="s">
        <v>55</v>
      </c>
      <c r="E577" s="331">
        <v>0</v>
      </c>
      <c r="F577" s="459">
        <f>F501</f>
        <v>0</v>
      </c>
      <c r="G577" s="331">
        <v>0</v>
      </c>
      <c r="H577" s="459">
        <f>H501</f>
        <v>0</v>
      </c>
      <c r="K577" s="12" t="s">
        <v>51</v>
      </c>
      <c r="L577" s="13" t="s">
        <v>54</v>
      </c>
      <c r="M577" s="3" t="s">
        <v>55</v>
      </c>
      <c r="N577" s="331">
        <v>0</v>
      </c>
      <c r="O577" s="331">
        <f>IF(Provozování!$V$16="Neaktivní",0,F577)</f>
        <v>0</v>
      </c>
      <c r="P577" s="331">
        <v>0</v>
      </c>
      <c r="Q577" s="332">
        <f>IF(Provozování!$V$16="Neaktivní",0,H577)</f>
        <v>0</v>
      </c>
      <c r="T577" s="12" t="s">
        <v>51</v>
      </c>
      <c r="U577" s="13" t="s">
        <v>54</v>
      </c>
      <c r="V577" s="3" t="s">
        <v>55</v>
      </c>
      <c r="W577" s="466">
        <v>0</v>
      </c>
      <c r="X577" s="331">
        <f>F577</f>
        <v>0</v>
      </c>
      <c r="Y577" s="332">
        <f>W577-X577</f>
        <v>0</v>
      </c>
      <c r="Z577" s="466">
        <v>0</v>
      </c>
      <c r="AA577" s="331">
        <f>F577</f>
        <v>0</v>
      </c>
      <c r="AB577" s="332">
        <f>Z577-AA577</f>
        <v>0</v>
      </c>
      <c r="AC577" s="146"/>
      <c r="AD577" s="146"/>
      <c r="AE577" s="1068" t="s">
        <v>337</v>
      </c>
      <c r="AF577" s="1069"/>
      <c r="AG577" s="1072" t="str">
        <f>IF(AG573&gt;0,"úspora",IF(AG573&lt;0,"ztráta provozovatele","-"))</f>
        <v>-</v>
      </c>
      <c r="AH577" s="1072" t="str">
        <f>IF(AH573&gt;0,"úspora",IF(AH573&lt;0,"ztráta provozovatele","-"))</f>
        <v>-</v>
      </c>
      <c r="AK577" s="146"/>
      <c r="AL577" s="146"/>
      <c r="AM577" s="146"/>
      <c r="AN577" s="146"/>
    </row>
    <row r="578" spans="2:40" x14ac:dyDescent="0.25">
      <c r="B578" s="12" t="s">
        <v>52</v>
      </c>
      <c r="C578" s="13" t="s">
        <v>57</v>
      </c>
      <c r="D578" s="3" t="s">
        <v>58</v>
      </c>
      <c r="E578" s="44">
        <v>0</v>
      </c>
      <c r="F578" s="44">
        <f>IF(YEAR(Postup!$H$25)&gt;$D$536,Provozování!AS49,IF(AND(DAY(Postup!$H$25)=31,MONTH(Postup!$H$25)=12,YEAR(Postup!$H$25)=$D$536),Provozování!AS49,IF(YEAR(Postup!$H$25)=$D$536,Provozování!$BL49,0)))</f>
        <v>0</v>
      </c>
      <c r="G578" s="44">
        <v>0</v>
      </c>
      <c r="H578" s="334">
        <v>0</v>
      </c>
      <c r="K578" s="12" t="s">
        <v>52</v>
      </c>
      <c r="L578" s="13" t="s">
        <v>57</v>
      </c>
      <c r="M578" s="3" t="s">
        <v>58</v>
      </c>
      <c r="N578" s="44">
        <v>0</v>
      </c>
      <c r="O578" s="44">
        <f>IF(Provozování!$AU$16="Neaktivní",0,Provozování!AU49)</f>
        <v>0</v>
      </c>
      <c r="P578" s="44">
        <v>0</v>
      </c>
      <c r="Q578" s="334">
        <v>0</v>
      </c>
      <c r="T578" s="12" t="s">
        <v>52</v>
      </c>
      <c r="U578" s="13" t="s">
        <v>57</v>
      </c>
      <c r="V578" s="3" t="s">
        <v>58</v>
      </c>
      <c r="W578" s="462">
        <v>0</v>
      </c>
      <c r="X578" s="44">
        <f>IF(Provozování!$AU$16="Neaktivní",F578,O578)</f>
        <v>0</v>
      </c>
      <c r="Y578" s="44">
        <f>W578-X578</f>
        <v>0</v>
      </c>
      <c r="Z578" s="337">
        <v>0</v>
      </c>
      <c r="AA578" s="337">
        <v>0</v>
      </c>
      <c r="AB578" s="334">
        <v>0</v>
      </c>
      <c r="AC578" s="146"/>
      <c r="AD578" s="146"/>
      <c r="AE578" s="1070"/>
      <c r="AF578" s="1071"/>
      <c r="AG578" s="1000"/>
      <c r="AH578" s="1000"/>
      <c r="AK578" s="146"/>
      <c r="AL578" s="146"/>
      <c r="AM578" s="146"/>
      <c r="AN578" s="146"/>
    </row>
    <row r="579" spans="2:40" x14ac:dyDescent="0.25">
      <c r="B579" s="12" t="s">
        <v>53</v>
      </c>
      <c r="C579" s="13" t="s">
        <v>60</v>
      </c>
      <c r="D579" s="3" t="s">
        <v>58</v>
      </c>
      <c r="E579" s="44">
        <v>0</v>
      </c>
      <c r="F579" s="44">
        <f>IF(YEAR(Postup!$H$25)&gt;$D$536,Provozování!AS50,IF(AND(DAY(Postup!$H$25)=31,MONTH(Postup!$H$25)=12,YEAR(Postup!$H$25)=$D$536),Provozování!AS50,IF(YEAR(Postup!$H$25)=$D$536,Provozování!$BL50,0)))</f>
        <v>0</v>
      </c>
      <c r="G579" s="44">
        <v>0</v>
      </c>
      <c r="H579" s="334">
        <v>0</v>
      </c>
      <c r="K579" s="12" t="s">
        <v>53</v>
      </c>
      <c r="L579" s="13" t="s">
        <v>60</v>
      </c>
      <c r="M579" s="3" t="s">
        <v>58</v>
      </c>
      <c r="N579" s="44">
        <v>0</v>
      </c>
      <c r="O579" s="44">
        <f>IF(Provozování!$AU$16="Neaktivní",0,Provozování!AU50)</f>
        <v>0</v>
      </c>
      <c r="P579" s="44">
        <v>0</v>
      </c>
      <c r="Q579" s="334">
        <v>0</v>
      </c>
      <c r="T579" s="12" t="s">
        <v>53</v>
      </c>
      <c r="U579" s="13" t="s">
        <v>60</v>
      </c>
      <c r="V579" s="3" t="s">
        <v>58</v>
      </c>
      <c r="W579" s="462">
        <v>0</v>
      </c>
      <c r="X579" s="44">
        <f>IF(Provozování!$AU$16="Neaktivní",F579,O579)</f>
        <v>0</v>
      </c>
      <c r="Y579" s="44">
        <f>W579-X579</f>
        <v>0</v>
      </c>
      <c r="Z579" s="337">
        <v>0</v>
      </c>
      <c r="AA579" s="337">
        <v>0</v>
      </c>
      <c r="AB579" s="334">
        <v>0</v>
      </c>
      <c r="AC579" s="146"/>
      <c r="AD579" s="146"/>
      <c r="AE579" s="414" t="s">
        <v>343</v>
      </c>
      <c r="AF579" s="414"/>
      <c r="AG579" s="344">
        <f>IF(AG573&gt;0,AG573/AG570,0)</f>
        <v>0</v>
      </c>
      <c r="AH579" s="344">
        <f>IF(AH573&gt;0,AH573/AH570,0)</f>
        <v>0</v>
      </c>
      <c r="AK579" s="146"/>
      <c r="AL579" s="146"/>
      <c r="AM579" s="146"/>
      <c r="AN579" s="146"/>
    </row>
    <row r="580" spans="2:40" x14ac:dyDescent="0.25">
      <c r="B580" s="12" t="s">
        <v>56</v>
      </c>
      <c r="C580" s="13" t="s">
        <v>62</v>
      </c>
      <c r="D580" s="3" t="s">
        <v>58</v>
      </c>
      <c r="E580" s="44">
        <v>0</v>
      </c>
      <c r="F580" s="337">
        <v>0</v>
      </c>
      <c r="G580" s="44">
        <v>0</v>
      </c>
      <c r="H580" s="30">
        <f>IF(YEAR(Postup!$H$25)&gt;$D$536,Provozování!AT51,IF(AND(DAY(Postup!$H$25)=31,MONTH(Postup!$H$25)=12,YEAR(Postup!$H$25)=$D$536),Provozování!AT51,IF(YEAR(Postup!$H$25)=$D$536,Provozování!$BM51,0)))</f>
        <v>0</v>
      </c>
      <c r="K580" s="12" t="s">
        <v>56</v>
      </c>
      <c r="L580" s="13" t="s">
        <v>62</v>
      </c>
      <c r="M580" s="3" t="s">
        <v>58</v>
      </c>
      <c r="N580" s="44">
        <v>0</v>
      </c>
      <c r="O580" s="337">
        <v>0</v>
      </c>
      <c r="P580" s="44">
        <v>0</v>
      </c>
      <c r="Q580" s="53">
        <f>IF(Provozování!$AU$16="Neaktivní",0,Provozování!AV51)</f>
        <v>0</v>
      </c>
      <c r="T580" s="12" t="s">
        <v>56</v>
      </c>
      <c r="U580" s="13" t="s">
        <v>62</v>
      </c>
      <c r="V580" s="3" t="s">
        <v>58</v>
      </c>
      <c r="W580" s="337">
        <v>0</v>
      </c>
      <c r="X580" s="337">
        <v>0</v>
      </c>
      <c r="Y580" s="337">
        <v>0</v>
      </c>
      <c r="Z580" s="462">
        <v>0</v>
      </c>
      <c r="AA580" s="44">
        <f>IF(Provozování!$AU$16="Neaktivní",H580,Q580)</f>
        <v>0</v>
      </c>
      <c r="AB580" s="30">
        <f t="shared" ref="AB580:AB585" si="64">Z580-AA580</f>
        <v>0</v>
      </c>
      <c r="AC580" s="146"/>
      <c r="AD580" s="146"/>
      <c r="AE580" s="437" t="s">
        <v>323</v>
      </c>
      <c r="AF580" s="437"/>
      <c r="AG580" s="715"/>
      <c r="AH580" s="715"/>
      <c r="AK580" s="146"/>
      <c r="AL580" s="146"/>
      <c r="AM580" s="146"/>
      <c r="AN580" s="146"/>
    </row>
    <row r="581" spans="2:40" x14ac:dyDescent="0.25">
      <c r="B581" s="12" t="s">
        <v>59</v>
      </c>
      <c r="C581" s="13" t="s">
        <v>60</v>
      </c>
      <c r="D581" s="3" t="s">
        <v>58</v>
      </c>
      <c r="E581" s="44">
        <v>0</v>
      </c>
      <c r="F581" s="337">
        <v>0</v>
      </c>
      <c r="G581" s="44">
        <v>0</v>
      </c>
      <c r="H581" s="30">
        <f>IF(YEAR(Postup!$H$25)&gt;$D$536,Provozování!AT52,IF(AND(DAY(Postup!$H$25)=31,MONTH(Postup!$H$25)=12,YEAR(Postup!$H$25)=$D$536),Provozování!AT52,IF(YEAR(Postup!$H$25)=$D$536,Provozování!$BM52,0)))</f>
        <v>0</v>
      </c>
      <c r="K581" s="12" t="s">
        <v>59</v>
      </c>
      <c r="L581" s="13" t="s">
        <v>60</v>
      </c>
      <c r="M581" s="3" t="s">
        <v>58</v>
      </c>
      <c r="N581" s="44">
        <v>0</v>
      </c>
      <c r="O581" s="337">
        <v>0</v>
      </c>
      <c r="P581" s="44">
        <v>0</v>
      </c>
      <c r="Q581" s="53">
        <f>IF(Provozování!$AU$16="Neaktivní",0,Provozování!AV52)</f>
        <v>0</v>
      </c>
      <c r="T581" s="12" t="s">
        <v>59</v>
      </c>
      <c r="U581" s="13" t="s">
        <v>60</v>
      </c>
      <c r="V581" s="3" t="s">
        <v>58</v>
      </c>
      <c r="W581" s="337">
        <v>0</v>
      </c>
      <c r="X581" s="337">
        <v>0</v>
      </c>
      <c r="Y581" s="337">
        <v>0</v>
      </c>
      <c r="Z581" s="462">
        <v>0</v>
      </c>
      <c r="AA581" s="44">
        <f>IF(Provozování!$AU$16="Neaktivní",H581,Q581)</f>
        <v>0</v>
      </c>
      <c r="AB581" s="30">
        <f t="shared" si="64"/>
        <v>0</v>
      </c>
      <c r="AC581" s="146"/>
      <c r="AD581" s="146"/>
      <c r="AE581" s="438" t="s">
        <v>334</v>
      </c>
      <c r="AF581" s="438"/>
      <c r="AG581" s="712">
        <f>IF(AG579&gt;0,AG570*AI581*0.5,0)</f>
        <v>0</v>
      </c>
      <c r="AH581" s="712">
        <f>IF(AH579&gt;0,AH570*AJ581*0.5,0)</f>
        <v>0</v>
      </c>
      <c r="AI581" s="345">
        <f>IF(AG579&gt;0.05,0.05,AG579)</f>
        <v>0</v>
      </c>
      <c r="AJ581" s="345">
        <f>IF(AH579&gt;0.05,0.05,AH579)</f>
        <v>0</v>
      </c>
      <c r="AK581" s="146"/>
      <c r="AL581" s="146"/>
      <c r="AM581" s="146"/>
      <c r="AN581" s="146"/>
    </row>
    <row r="582" spans="2:40" x14ac:dyDescent="0.25">
      <c r="B582" s="12" t="s">
        <v>61</v>
      </c>
      <c r="C582" s="13" t="s">
        <v>65</v>
      </c>
      <c r="D582" s="3" t="s">
        <v>58</v>
      </c>
      <c r="E582" s="44">
        <v>0</v>
      </c>
      <c r="F582" s="337">
        <v>0</v>
      </c>
      <c r="G582" s="44">
        <v>0</v>
      </c>
      <c r="H582" s="30">
        <f>IF(YEAR(Postup!$H$25)&gt;$D$536,Provozování!AT53,IF(AND(DAY(Postup!$H$25)=31,MONTH(Postup!$H$25)=12,YEAR(Postup!$H$25)=$D$536),Provozování!AT53,IF(YEAR(Postup!$H$25)=$D$536,Provozování!$BM53,0)))</f>
        <v>0</v>
      </c>
      <c r="K582" s="12" t="s">
        <v>61</v>
      </c>
      <c r="L582" s="13" t="s">
        <v>65</v>
      </c>
      <c r="M582" s="3" t="s">
        <v>58</v>
      </c>
      <c r="N582" s="44">
        <v>0</v>
      </c>
      <c r="O582" s="337">
        <v>0</v>
      </c>
      <c r="P582" s="44">
        <v>0</v>
      </c>
      <c r="Q582" s="53">
        <f>IF(Provozování!$AU$16="Neaktivní",0,Provozování!AV53)</f>
        <v>0</v>
      </c>
      <c r="T582" s="12" t="s">
        <v>61</v>
      </c>
      <c r="U582" s="13" t="s">
        <v>65</v>
      </c>
      <c r="V582" s="3" t="s">
        <v>58</v>
      </c>
      <c r="W582" s="337">
        <v>0</v>
      </c>
      <c r="X582" s="337">
        <v>0</v>
      </c>
      <c r="Y582" s="337">
        <v>0</v>
      </c>
      <c r="Z582" s="462">
        <v>0</v>
      </c>
      <c r="AA582" s="44">
        <f>IF(Provozování!$AU$16="Neaktivní",H582,Q582)</f>
        <v>0</v>
      </c>
      <c r="AB582" s="30">
        <f t="shared" si="64"/>
        <v>0</v>
      </c>
      <c r="AC582" s="146"/>
      <c r="AD582" s="146"/>
      <c r="AE582" s="415" t="s">
        <v>335</v>
      </c>
      <c r="AF582" s="415"/>
      <c r="AG582" s="270">
        <f>IF(AI582&gt;0,AG570*(AI582-0.05)*0.8,0)</f>
        <v>0</v>
      </c>
      <c r="AH582" s="270">
        <f>IF(AJ582&gt;0,AH570*(AJ582-0.05)*0.8,0)</f>
        <v>0</v>
      </c>
      <c r="AI582" s="345">
        <f>IF(AND(AG579&gt;0.05,AG579&lt;=0.1),AG579,IF(AG579&lt;=0.05,0,0.1))</f>
        <v>0</v>
      </c>
      <c r="AJ582" s="345">
        <f>IF(AND(AH579&gt;0.05,AH579&lt;=0.1),AH579,IF(AH579&lt;=0.05,0,0.1))</f>
        <v>0</v>
      </c>
      <c r="AK582" s="146"/>
      <c r="AL582" s="146"/>
      <c r="AM582" s="146"/>
      <c r="AN582" s="146"/>
    </row>
    <row r="583" spans="2:40" x14ac:dyDescent="0.25">
      <c r="B583" s="12" t="s">
        <v>63</v>
      </c>
      <c r="C583" s="13" t="s">
        <v>67</v>
      </c>
      <c r="D583" s="3" t="s">
        <v>58</v>
      </c>
      <c r="E583" s="44">
        <v>0</v>
      </c>
      <c r="F583" s="337">
        <v>0</v>
      </c>
      <c r="G583" s="44">
        <v>0</v>
      </c>
      <c r="H583" s="30">
        <f>IF(YEAR(Postup!$H$25)&gt;$D$536,Provozování!AT54,IF(AND(DAY(Postup!$H$25)=31,MONTH(Postup!$H$25)=12,YEAR(Postup!$H$25)=$D$536),Provozování!AT54,IF(YEAR(Postup!$H$25)=$D$536,Provozování!$BM54,0)))</f>
        <v>0</v>
      </c>
      <c r="K583" s="12" t="s">
        <v>63</v>
      </c>
      <c r="L583" s="13" t="s">
        <v>67</v>
      </c>
      <c r="M583" s="3" t="s">
        <v>58</v>
      </c>
      <c r="N583" s="44">
        <v>0</v>
      </c>
      <c r="O583" s="337">
        <v>0</v>
      </c>
      <c r="P583" s="44">
        <v>0</v>
      </c>
      <c r="Q583" s="53">
        <f>IF(Provozování!$AU$16="Neaktivní",0,Provozování!AV54)</f>
        <v>0</v>
      </c>
      <c r="T583" s="12" t="s">
        <v>63</v>
      </c>
      <c r="U583" s="13" t="s">
        <v>67</v>
      </c>
      <c r="V583" s="3" t="s">
        <v>58</v>
      </c>
      <c r="W583" s="337">
        <v>0</v>
      </c>
      <c r="X583" s="337">
        <v>0</v>
      </c>
      <c r="Y583" s="337">
        <v>0</v>
      </c>
      <c r="Z583" s="462">
        <v>0</v>
      </c>
      <c r="AA583" s="44">
        <f>IF(Provozování!$AU$16="Neaktivní",H583,Q583)</f>
        <v>0</v>
      </c>
      <c r="AB583" s="30">
        <f t="shared" si="64"/>
        <v>0</v>
      </c>
      <c r="AC583" s="146"/>
      <c r="AD583" s="146"/>
      <c r="AE583" s="415" t="s">
        <v>336</v>
      </c>
      <c r="AF583" s="415"/>
      <c r="AG583" s="270">
        <f>IF(AI583&gt;0,AG570*(AI583-0.1)*1,0)</f>
        <v>0</v>
      </c>
      <c r="AH583" s="270">
        <f>IF(AJ583&gt;0,AH570*(AJ583-0.1)*1,0)</f>
        <v>0</v>
      </c>
      <c r="AI583" s="345">
        <f>IF(AG579&gt;0.1,AG579,0)</f>
        <v>0</v>
      </c>
      <c r="AJ583" s="345">
        <f>IF(AH579&gt;0.1,AH579,0)</f>
        <v>0</v>
      </c>
      <c r="AK583" s="146"/>
      <c r="AL583" s="146"/>
      <c r="AM583" s="146"/>
      <c r="AN583" s="146"/>
    </row>
    <row r="584" spans="2:40" x14ac:dyDescent="0.25">
      <c r="B584" s="12" t="s">
        <v>64</v>
      </c>
      <c r="C584" s="13" t="s">
        <v>68</v>
      </c>
      <c r="D584" s="3" t="s">
        <v>58</v>
      </c>
      <c r="E584" s="44">
        <v>0</v>
      </c>
      <c r="F584" s="44">
        <f>IF(YEAR(Postup!$H$25)&gt;$D$536,Provozování!AS55,IF(AND(DAY(Postup!$H$25)=31,MONTH(Postup!$H$25)=12,YEAR(Postup!$H$25)=$D$536),Provozování!AS55,IF(YEAR(Postup!$H$25)=$D$536,Provozování!$BL55,0)))</f>
        <v>0</v>
      </c>
      <c r="G584" s="44">
        <v>0</v>
      </c>
      <c r="H584" s="30">
        <f>IF(YEAR(Postup!$H$25)&gt;$D$536,Provozování!AT55,IF(AND(DAY(Postup!$H$25)=31,MONTH(Postup!$H$25)=12,YEAR(Postup!$H$25)=$D$536),Provozování!AT55,IF(YEAR(Postup!$H$25)=$D$536,Provozování!$BM55,0)))</f>
        <v>0</v>
      </c>
      <c r="K584" s="12" t="s">
        <v>64</v>
      </c>
      <c r="L584" s="13" t="s">
        <v>68</v>
      </c>
      <c r="M584" s="3" t="s">
        <v>58</v>
      </c>
      <c r="N584" s="44">
        <v>0</v>
      </c>
      <c r="O584" s="44">
        <f>IF(Provozování!$AU$16="Neaktivní",0,Provozování!AU55)</f>
        <v>0</v>
      </c>
      <c r="P584" s="44">
        <v>0</v>
      </c>
      <c r="Q584" s="53">
        <f>IF(Provozování!$AU$16="Neaktivní",0,Provozování!AV55)</f>
        <v>0</v>
      </c>
      <c r="T584" s="12" t="s">
        <v>64</v>
      </c>
      <c r="U584" s="13" t="s">
        <v>68</v>
      </c>
      <c r="V584" s="3" t="s">
        <v>58</v>
      </c>
      <c r="W584" s="462">
        <v>0</v>
      </c>
      <c r="X584" s="44">
        <f>IF(Provozování!$AU$16="Neaktivní",F584,O584)</f>
        <v>0</v>
      </c>
      <c r="Y584" s="44">
        <f>W584-X584</f>
        <v>0</v>
      </c>
      <c r="Z584" s="462">
        <v>0</v>
      </c>
      <c r="AA584" s="44">
        <f>IF(Provozování!$AU$16="Neaktivní",H584,Q584)</f>
        <v>0</v>
      </c>
      <c r="AB584" s="30">
        <f t="shared" si="64"/>
        <v>0</v>
      </c>
      <c r="AC584" s="146"/>
      <c r="AD584" s="146"/>
      <c r="AE584" s="413" t="s">
        <v>324</v>
      </c>
      <c r="AF584" s="413"/>
      <c r="AG584" s="346">
        <f>SUM(AG581:AG583)</f>
        <v>0</v>
      </c>
      <c r="AH584" s="346">
        <f>SUM(AH581:AH583)</f>
        <v>0</v>
      </c>
      <c r="AK584" s="146"/>
      <c r="AL584" s="146"/>
      <c r="AM584" s="146"/>
      <c r="AN584" s="146"/>
    </row>
    <row r="585" spans="2:40" x14ac:dyDescent="0.25">
      <c r="B585" s="12" t="s">
        <v>66</v>
      </c>
      <c r="C585" s="13" t="s">
        <v>69</v>
      </c>
      <c r="D585" s="3" t="s">
        <v>58</v>
      </c>
      <c r="E585" s="44">
        <v>0</v>
      </c>
      <c r="F585" s="44">
        <f>IF(YEAR(Postup!$H$25)&gt;$D$536,Provozování!AS56,IF(AND(DAY(Postup!$H$25)=31,MONTH(Postup!$H$25)=12,YEAR(Postup!$H$25)=$D$536),Provozování!AS56,IF(YEAR(Postup!$H$25)=$D$536,Provozování!$BL56,0)))</f>
        <v>0</v>
      </c>
      <c r="G585" s="44">
        <v>0</v>
      </c>
      <c r="H585" s="30">
        <f>IF(YEAR(Postup!$H$25)&gt;$D$536,Provozování!AT56,IF(AND(DAY(Postup!$H$25)=31,MONTH(Postup!$H$25)=12,YEAR(Postup!$H$25)=$D$536),Provozování!AT56,IF(YEAR(Postup!$H$25)=$D$536,Provozování!$BM56,0)))</f>
        <v>0</v>
      </c>
      <c r="K585" s="12" t="s">
        <v>66</v>
      </c>
      <c r="L585" s="13" t="s">
        <v>69</v>
      </c>
      <c r="M585" s="3" t="s">
        <v>58</v>
      </c>
      <c r="N585" s="44">
        <v>0</v>
      </c>
      <c r="O585" s="44">
        <f>IF(Provozování!$AU$16="Neaktivní",0,Provozování!AU56)</f>
        <v>0</v>
      </c>
      <c r="P585" s="44">
        <v>0</v>
      </c>
      <c r="Q585" s="30">
        <f>IF(Provozování!$AU$16="Neaktivní",0,Provozování!AV56)</f>
        <v>0</v>
      </c>
      <c r="T585" s="12" t="s">
        <v>66</v>
      </c>
      <c r="U585" s="13" t="s">
        <v>69</v>
      </c>
      <c r="V585" s="3" t="s">
        <v>58</v>
      </c>
      <c r="W585" s="462">
        <v>0</v>
      </c>
      <c r="X585" s="44">
        <f>IF(Provozování!$AU$16="Neaktivní",F585,O585)</f>
        <v>0</v>
      </c>
      <c r="Y585" s="44">
        <f>W585-X585</f>
        <v>0</v>
      </c>
      <c r="Z585" s="462">
        <v>0</v>
      </c>
      <c r="AA585" s="44">
        <f>IF(Provozování!$AU$16="Neaktivní",H585,Q585)</f>
        <v>0</v>
      </c>
      <c r="AB585" s="30">
        <f t="shared" si="64"/>
        <v>0</v>
      </c>
      <c r="AC585" s="146"/>
      <c r="AD585" s="146"/>
      <c r="AE585" s="146"/>
      <c r="AF585" s="146"/>
      <c r="AG585" s="146"/>
      <c r="AH585" s="146"/>
      <c r="AI585" s="146"/>
      <c r="AJ585" s="146"/>
      <c r="AK585" s="146"/>
      <c r="AL585" s="146"/>
      <c r="AM585" s="146"/>
      <c r="AN585" s="146"/>
    </row>
    <row r="586" spans="2:40" x14ac:dyDescent="0.25">
      <c r="B586" s="1"/>
      <c r="C586" s="1"/>
      <c r="D586" s="1"/>
      <c r="E586" s="1"/>
      <c r="F586" s="347"/>
      <c r="G586" s="1"/>
      <c r="H586" s="347"/>
      <c r="K586" s="1"/>
      <c r="L586" s="1"/>
      <c r="M586" s="1"/>
      <c r="N586" s="1"/>
      <c r="O586" s="1"/>
      <c r="P586" s="1"/>
      <c r="Q586" s="1"/>
      <c r="T586" s="1"/>
      <c r="U586" s="1"/>
      <c r="V586" s="1"/>
      <c r="W586" s="1"/>
      <c r="X586" s="1"/>
      <c r="Y586" s="1"/>
      <c r="Z586" s="1"/>
      <c r="AA586" s="1"/>
      <c r="AB586" s="1"/>
      <c r="AC586" s="146"/>
      <c r="AD586" s="146"/>
      <c r="AE586" s="146"/>
      <c r="AF586" s="146"/>
      <c r="AG586" s="146"/>
      <c r="AH586" s="146"/>
      <c r="AI586" s="146"/>
      <c r="AJ586" s="146"/>
      <c r="AK586" s="146"/>
      <c r="AL586" s="146"/>
      <c r="AM586" s="146"/>
      <c r="AN586" s="146"/>
    </row>
    <row r="587" spans="2:40" x14ac:dyDescent="0.25">
      <c r="B587" s="1052" t="s">
        <v>5</v>
      </c>
      <c r="C587" s="884" t="s">
        <v>70</v>
      </c>
      <c r="D587" s="868"/>
      <c r="E587" s="1082"/>
      <c r="F587" s="1083"/>
      <c r="G587" s="868"/>
      <c r="H587" s="869"/>
      <c r="K587" s="1052" t="s">
        <v>5</v>
      </c>
      <c r="L587" s="884" t="s">
        <v>70</v>
      </c>
      <c r="M587" s="868"/>
      <c r="N587" s="1082"/>
      <c r="O587" s="1083"/>
      <c r="P587" s="868"/>
      <c r="Q587" s="869"/>
      <c r="T587" s="1098" t="s">
        <v>5</v>
      </c>
      <c r="U587" s="884" t="s">
        <v>70</v>
      </c>
      <c r="V587" s="868"/>
      <c r="W587" s="1082"/>
      <c r="X587" s="1082"/>
      <c r="Y587" s="1083"/>
      <c r="Z587" s="868"/>
      <c r="AA587" s="868"/>
      <c r="AB587" s="869"/>
      <c r="AC587" s="146"/>
      <c r="AD587" s="146"/>
      <c r="AE587" s="146"/>
      <c r="AF587" s="146"/>
      <c r="AG587" s="146"/>
      <c r="AH587" s="146"/>
      <c r="AI587" s="146"/>
      <c r="AJ587" s="146"/>
      <c r="AK587" s="146"/>
      <c r="AL587" s="146"/>
      <c r="AM587" s="146"/>
      <c r="AN587" s="146"/>
    </row>
    <row r="588" spans="2:40" x14ac:dyDescent="0.25">
      <c r="B588" s="1053"/>
      <c r="C588" s="1052" t="s">
        <v>71</v>
      </c>
      <c r="D588" s="1065" t="s">
        <v>133</v>
      </c>
      <c r="E588" s="1085" t="s">
        <v>102</v>
      </c>
      <c r="F588" s="1086"/>
      <c r="G588" s="85" t="s">
        <v>3</v>
      </c>
      <c r="H588" s="23" t="s">
        <v>4</v>
      </c>
      <c r="K588" s="1053"/>
      <c r="L588" s="5" t="s">
        <v>71</v>
      </c>
      <c r="M588" s="1065" t="s">
        <v>133</v>
      </c>
      <c r="N588" s="1085" t="s">
        <v>102</v>
      </c>
      <c r="O588" s="1086"/>
      <c r="P588" s="85" t="s">
        <v>3</v>
      </c>
      <c r="Q588" s="23" t="s">
        <v>4</v>
      </c>
      <c r="T588" s="1099"/>
      <c r="U588" s="1052" t="s">
        <v>71</v>
      </c>
      <c r="V588" s="1065" t="s">
        <v>133</v>
      </c>
      <c r="W588" s="1085" t="s">
        <v>102</v>
      </c>
      <c r="X588" s="1086"/>
      <c r="Y588" s="1085" t="s">
        <v>3</v>
      </c>
      <c r="Z588" s="1101"/>
      <c r="AA588" s="1102" t="s">
        <v>4</v>
      </c>
      <c r="AB588" s="1102"/>
      <c r="AC588" s="146"/>
      <c r="AD588" s="146"/>
      <c r="AE588" s="146"/>
      <c r="AF588" s="146"/>
      <c r="AG588" s="146"/>
      <c r="AH588" s="146"/>
      <c r="AI588" s="146"/>
      <c r="AJ588" s="146"/>
      <c r="AK588" s="146"/>
      <c r="AL588" s="146"/>
      <c r="AM588" s="146"/>
      <c r="AN588" s="146"/>
    </row>
    <row r="589" spans="2:40" x14ac:dyDescent="0.25">
      <c r="B589" s="1054"/>
      <c r="C589" s="1054"/>
      <c r="D589" s="1084"/>
      <c r="E589" s="1087"/>
      <c r="F589" s="1088"/>
      <c r="G589" s="26" t="s">
        <v>7</v>
      </c>
      <c r="H589" s="24" t="s">
        <v>7</v>
      </c>
      <c r="K589" s="1054"/>
      <c r="L589" s="8"/>
      <c r="M589" s="1084"/>
      <c r="N589" s="1087"/>
      <c r="O589" s="1088"/>
      <c r="P589" s="26" t="s">
        <v>7</v>
      </c>
      <c r="Q589" s="24" t="s">
        <v>7</v>
      </c>
      <c r="T589" s="1100"/>
      <c r="U589" s="1054"/>
      <c r="V589" s="1084"/>
      <c r="W589" s="1087"/>
      <c r="X589" s="1088"/>
      <c r="Y589" s="37" t="s">
        <v>148</v>
      </c>
      <c r="Z589" s="37" t="s">
        <v>7</v>
      </c>
      <c r="AA589" s="37" t="s">
        <v>148</v>
      </c>
      <c r="AB589" s="37" t="s">
        <v>7</v>
      </c>
      <c r="AC589" s="146"/>
      <c r="AD589" s="146"/>
      <c r="AE589" s="146"/>
      <c r="AF589" s="146"/>
      <c r="AG589" s="146"/>
      <c r="AH589" s="146"/>
      <c r="AI589" s="146"/>
      <c r="AJ589" s="146"/>
      <c r="AK589" s="146"/>
      <c r="AL589" s="146"/>
      <c r="AM589" s="146"/>
      <c r="AN589" s="146"/>
    </row>
    <row r="590" spans="2:40" x14ac:dyDescent="0.25">
      <c r="B590" s="11">
        <v>1</v>
      </c>
      <c r="C590" s="11">
        <v>2</v>
      </c>
      <c r="D590" s="11" t="s">
        <v>95</v>
      </c>
      <c r="E590" s="873" t="s">
        <v>99</v>
      </c>
      <c r="F590" s="874"/>
      <c r="G590" s="11" t="s">
        <v>100</v>
      </c>
      <c r="H590" s="22" t="s">
        <v>101</v>
      </c>
      <c r="K590" s="11">
        <v>1</v>
      </c>
      <c r="L590" s="11">
        <v>2</v>
      </c>
      <c r="M590" s="11" t="s">
        <v>95</v>
      </c>
      <c r="N590" s="873" t="s">
        <v>99</v>
      </c>
      <c r="O590" s="874"/>
      <c r="P590" s="11" t="s">
        <v>100</v>
      </c>
      <c r="Q590" s="22" t="s">
        <v>101</v>
      </c>
      <c r="T590" s="11">
        <v>1</v>
      </c>
      <c r="U590" s="11">
        <v>2</v>
      </c>
      <c r="V590" s="11" t="s">
        <v>95</v>
      </c>
      <c r="W590" s="1096" t="s">
        <v>99</v>
      </c>
      <c r="X590" s="1097"/>
      <c r="Y590" s="11" t="s">
        <v>153</v>
      </c>
      <c r="Z590" s="11" t="s">
        <v>100</v>
      </c>
      <c r="AA590" s="11" t="s">
        <v>152</v>
      </c>
      <c r="AB590" s="22" t="s">
        <v>101</v>
      </c>
      <c r="AC590" s="146"/>
      <c r="AD590" s="146"/>
      <c r="AE590" s="146"/>
      <c r="AF590" s="146"/>
      <c r="AG590" s="146"/>
      <c r="AH590" s="146"/>
      <c r="AI590" s="146"/>
      <c r="AJ590" s="146"/>
      <c r="AK590" s="146"/>
      <c r="AL590" s="146"/>
      <c r="AM590" s="146"/>
      <c r="AN590" s="146"/>
    </row>
    <row r="591" spans="2:40" ht="14.45" customHeight="1" x14ac:dyDescent="0.25">
      <c r="B591" s="12" t="s">
        <v>72</v>
      </c>
      <c r="C591" s="13" t="s">
        <v>104</v>
      </c>
      <c r="D591" s="13" t="s">
        <v>73</v>
      </c>
      <c r="E591" s="875" t="s">
        <v>403</v>
      </c>
      <c r="F591" s="1048"/>
      <c r="G591" s="137">
        <f>IF(F578=0,IF(F584&lt;&gt;0,F574/F584,0),F574/F578)</f>
        <v>0</v>
      </c>
      <c r="H591" s="138">
        <f>IF((H580+H582)=0,IF(H585&lt;&gt;0,H574/H585,0),H574/(H580+H582))</f>
        <v>0</v>
      </c>
      <c r="K591" s="12" t="s">
        <v>72</v>
      </c>
      <c r="L591" s="13" t="s">
        <v>104</v>
      </c>
      <c r="M591" s="13" t="s">
        <v>73</v>
      </c>
      <c r="N591" s="875" t="s">
        <v>403</v>
      </c>
      <c r="O591" s="1048"/>
      <c r="P591" s="137">
        <f>IF(O578=0,IF(O584&lt;&gt;0,O574/O584,0),O574/O578)</f>
        <v>0</v>
      </c>
      <c r="Q591" s="138">
        <f>IF((Q580+Q582)=0,IF(Q585&lt;&gt;0,Q574/Q585,0),Q574/(Q580+Q582))</f>
        <v>0</v>
      </c>
      <c r="T591" s="12" t="s">
        <v>72</v>
      </c>
      <c r="U591" s="13" t="s">
        <v>104</v>
      </c>
      <c r="V591" s="13" t="s">
        <v>73</v>
      </c>
      <c r="W591" s="875" t="s">
        <v>403</v>
      </c>
      <c r="X591" s="1048"/>
      <c r="Y591" s="137">
        <f>IF(W578=0,IF(W584&lt;&gt;0,W574/W584,0),W574/W578)</f>
        <v>0</v>
      </c>
      <c r="Z591" s="137">
        <f>IF(X578=0,IF(X584&lt;&gt;0,X574/X584,0),X574/X578)</f>
        <v>0</v>
      </c>
      <c r="AA591" s="137">
        <f>IF((Z580+Z582)=0,IF(Z585&lt;&gt;0,Z574/Z585,0),Z574/(Z580+Z582))</f>
        <v>0</v>
      </c>
      <c r="AB591" s="138">
        <f>IF((AA580+AA582)=0,IF(AA585&lt;&gt;0,AA574/AA585,0),AA574/(AA580+AA582))</f>
        <v>0</v>
      </c>
      <c r="AC591" s="146"/>
      <c r="AD591" s="146"/>
      <c r="AE591" s="146"/>
      <c r="AF591" s="146"/>
      <c r="AG591" s="146"/>
      <c r="AH591" s="146"/>
      <c r="AI591" s="146"/>
      <c r="AJ591" s="146"/>
      <c r="AK591" s="146"/>
      <c r="AL591" s="146"/>
      <c r="AM591" s="146"/>
      <c r="AN591" s="146"/>
    </row>
    <row r="592" spans="2:40" x14ac:dyDescent="0.25">
      <c r="B592" s="12" t="s">
        <v>74</v>
      </c>
      <c r="C592" s="13" t="s">
        <v>358</v>
      </c>
      <c r="D592" s="13" t="s">
        <v>10</v>
      </c>
      <c r="E592" s="858" t="s">
        <v>404</v>
      </c>
      <c r="F592" s="870"/>
      <c r="G592" s="340">
        <f>G593+G594</f>
        <v>0</v>
      </c>
      <c r="H592" s="341">
        <f>H593+H594</f>
        <v>0</v>
      </c>
      <c r="K592" s="12" t="s">
        <v>74</v>
      </c>
      <c r="L592" s="13" t="s">
        <v>358</v>
      </c>
      <c r="M592" s="13" t="s">
        <v>10</v>
      </c>
      <c r="N592" s="858" t="s">
        <v>404</v>
      </c>
      <c r="O592" s="870"/>
      <c r="P592" s="340">
        <f>P593+P594</f>
        <v>0</v>
      </c>
      <c r="Q592" s="341">
        <f>Q593+Q594</f>
        <v>0</v>
      </c>
      <c r="T592" s="12" t="s">
        <v>74</v>
      </c>
      <c r="U592" s="13" t="s">
        <v>358</v>
      </c>
      <c r="V592" s="13" t="s">
        <v>10</v>
      </c>
      <c r="W592" s="858" t="s">
        <v>404</v>
      </c>
      <c r="X592" s="870"/>
      <c r="Y592" s="340">
        <f>Y593+Y594</f>
        <v>0</v>
      </c>
      <c r="Z592" s="340">
        <f>Z593+Z594</f>
        <v>0</v>
      </c>
      <c r="AA592" s="340">
        <f>AA593+AA594</f>
        <v>0</v>
      </c>
      <c r="AB592" s="341">
        <f>AB593+AB594</f>
        <v>0</v>
      </c>
      <c r="AC592" s="146"/>
      <c r="AD592" s="146"/>
      <c r="AE592" s="146"/>
      <c r="AF592" s="146"/>
      <c r="AG592" s="146"/>
      <c r="AH592" s="146"/>
      <c r="AI592" s="146"/>
      <c r="AJ592" s="146"/>
      <c r="AK592" s="146"/>
      <c r="AL592" s="146"/>
      <c r="AM592" s="146"/>
      <c r="AN592" s="146"/>
    </row>
    <row r="593" spans="2:40" x14ac:dyDescent="0.25">
      <c r="B593" s="12" t="s">
        <v>352</v>
      </c>
      <c r="C593" s="13" t="s">
        <v>359</v>
      </c>
      <c r="D593" s="13" t="s">
        <v>10</v>
      </c>
      <c r="E593" s="871"/>
      <c r="F593" s="872"/>
      <c r="G593" s="340">
        <f>IF(YEAR(Postup!$H$25)&gt;$D533,Provozování!AS$84,IF(AND(DAY(Postup!$H$25)=31,MONTH(Postup!$H$25)=12,YEAR(Postup!$H$25)=$D533),Provozování!AS$84,IF(YEAR(Postup!$H$25)=$D533,Provozování!$BL$84,0)))</f>
        <v>0</v>
      </c>
      <c r="H593" s="341">
        <f>IF(YEAR(Postup!$H$25)&gt;$D533,Provozování!AT$84,IF(AND(DAY(Postup!$H$25)=31,MONTH(Postup!$H$25)=12,YEAR(Postup!$H$25)=$D533),Provozování!AT$84,IF(YEAR(Postup!$H$25)=$D533,Provozování!$BM$84,0)))</f>
        <v>0</v>
      </c>
      <c r="K593" s="12" t="s">
        <v>352</v>
      </c>
      <c r="L593" s="13" t="s">
        <v>359</v>
      </c>
      <c r="M593" s="13" t="s">
        <v>10</v>
      </c>
      <c r="N593" s="871"/>
      <c r="O593" s="872"/>
      <c r="P593" s="340">
        <f>IF(Provozování!AT$16="Neaktivní",0,Provozování!AU$84)</f>
        <v>0</v>
      </c>
      <c r="Q593" s="341">
        <f>IF(Provozování!AU$16="Neaktivní",0,Provozování!AV$84)</f>
        <v>0</v>
      </c>
      <c r="T593" s="12" t="s">
        <v>352</v>
      </c>
      <c r="U593" s="13" t="s">
        <v>359</v>
      </c>
      <c r="V593" s="13" t="s">
        <v>10</v>
      </c>
      <c r="W593" s="871"/>
      <c r="X593" s="872"/>
      <c r="Y593" s="340">
        <f>Z593</f>
        <v>0</v>
      </c>
      <c r="Z593" s="340">
        <f>IF(Provozování!$AU$16="Neaktivní",G593,G593*Výpočty!$O$50+P593)</f>
        <v>0</v>
      </c>
      <c r="AA593" s="340">
        <f>AB593</f>
        <v>0</v>
      </c>
      <c r="AB593" s="341">
        <f>IF(Provozování!$AU$16="Neaktivní",H593,Q593)</f>
        <v>0</v>
      </c>
      <c r="AC593" s="146"/>
      <c r="AD593" s="146"/>
      <c r="AE593" s="146"/>
      <c r="AF593" s="146"/>
      <c r="AG593" s="146"/>
      <c r="AH593" s="146"/>
      <c r="AI593" s="146"/>
      <c r="AJ593" s="146"/>
      <c r="AK593" s="146"/>
      <c r="AL593" s="146"/>
      <c r="AM593" s="146"/>
      <c r="AN593" s="146"/>
    </row>
    <row r="594" spans="2:40" x14ac:dyDescent="0.25">
      <c r="B594" s="12" t="s">
        <v>361</v>
      </c>
      <c r="C594" s="13" t="s">
        <v>360</v>
      </c>
      <c r="D594" s="13" t="s">
        <v>10</v>
      </c>
      <c r="E594" s="884"/>
      <c r="F594" s="869"/>
      <c r="G594" s="340">
        <f>IF(YEAR(Postup!$H$25)&gt;$D$536,((-1)*(Provozování!AS102)),IF(AND(DAY(Postup!$H$25)=31,MONTH(Postup!$H$25)=12,YEAR(Postup!$H$25)=$D$536),((-1)*(Provozování!AS102)),IF(YEAR(Postup!$H$25)=$D$536,((-1)*(Provozování!AS102)),0)))</f>
        <v>0</v>
      </c>
      <c r="H594" s="341">
        <f>IF(YEAR(Postup!$H$25)&gt;$D$536,((-1)*(Provozování!AT102)),IF(AND(DAY(Postup!$H$25)=31,MONTH(Postup!$H$25)=12,YEAR(Postup!$H$25)=$D$536),((-1)*(Provozování!AT102)),IF(YEAR(Postup!$H$25)=$D$536,((-1)*(Provozování!AT102)),0)))</f>
        <v>0</v>
      </c>
      <c r="K594" s="12" t="s">
        <v>361</v>
      </c>
      <c r="L594" s="13" t="s">
        <v>360</v>
      </c>
      <c r="M594" s="13" t="s">
        <v>10</v>
      </c>
      <c r="N594" s="884"/>
      <c r="O594" s="869"/>
      <c r="P594" s="340">
        <f>IF(Provozování!$AU$16="Neaktivní",0,((-1)*(Provozování!AS102)))</f>
        <v>0</v>
      </c>
      <c r="Q594" s="341">
        <f>IF(Provozování!$AU$16="Neaktivní",0,((-1)*(Provozování!AT102)))</f>
        <v>0</v>
      </c>
      <c r="T594" s="12" t="s">
        <v>361</v>
      </c>
      <c r="U594" s="13" t="s">
        <v>360</v>
      </c>
      <c r="V594" s="13" t="s">
        <v>10</v>
      </c>
      <c r="W594" s="884"/>
      <c r="X594" s="869"/>
      <c r="Y594" s="340">
        <f>Z594</f>
        <v>0</v>
      </c>
      <c r="Z594" s="340">
        <f>IF(Provozování!$AU$16="Neaktivní",G594,P594)</f>
        <v>0</v>
      </c>
      <c r="AA594" s="340">
        <f>AB594</f>
        <v>0</v>
      </c>
      <c r="AB594" s="341">
        <f>IF(Provozování!$AU$16="Neaktivní",H594,Q594)</f>
        <v>0</v>
      </c>
      <c r="AC594" s="146"/>
      <c r="AD594" s="146"/>
      <c r="AE594" s="146"/>
      <c r="AF594" s="146"/>
      <c r="AG594" s="146"/>
      <c r="AH594" s="146"/>
      <c r="AI594" s="146"/>
      <c r="AJ594" s="146"/>
      <c r="AK594" s="146"/>
      <c r="AL594" s="146"/>
      <c r="AM594" s="146"/>
      <c r="AN594" s="146"/>
    </row>
    <row r="595" spans="2:40" x14ac:dyDescent="0.25">
      <c r="B595" s="12" t="s">
        <v>75</v>
      </c>
      <c r="C595" s="13" t="s">
        <v>396</v>
      </c>
      <c r="D595" s="13" t="s">
        <v>10</v>
      </c>
      <c r="E595" s="858" t="s">
        <v>405</v>
      </c>
      <c r="F595" s="870"/>
      <c r="G595" s="340">
        <f>F574+G592</f>
        <v>0</v>
      </c>
      <c r="H595" s="341">
        <f>H574+H592</f>
        <v>0</v>
      </c>
      <c r="K595" s="12" t="s">
        <v>75</v>
      </c>
      <c r="L595" s="13" t="s">
        <v>396</v>
      </c>
      <c r="M595" s="13" t="s">
        <v>10</v>
      </c>
      <c r="N595" s="858" t="s">
        <v>405</v>
      </c>
      <c r="O595" s="870"/>
      <c r="P595" s="340">
        <f>O574+P592</f>
        <v>0</v>
      </c>
      <c r="Q595" s="341">
        <f>Q574+Q592</f>
        <v>0</v>
      </c>
      <c r="T595" s="12" t="s">
        <v>75</v>
      </c>
      <c r="U595" s="13" t="s">
        <v>396</v>
      </c>
      <c r="V595" s="13" t="s">
        <v>10</v>
      </c>
      <c r="W595" s="858" t="s">
        <v>405</v>
      </c>
      <c r="X595" s="870"/>
      <c r="Y595" s="14">
        <f>W574+Y592</f>
        <v>0</v>
      </c>
      <c r="Z595" s="14">
        <f>X574+Z592</f>
        <v>0</v>
      </c>
      <c r="AA595" s="14">
        <f>Z574+AA592</f>
        <v>0</v>
      </c>
      <c r="AB595" s="15">
        <f>AA574+AB592</f>
        <v>0</v>
      </c>
      <c r="AC595" s="146"/>
      <c r="AD595" s="146"/>
      <c r="AE595" s="146"/>
      <c r="AF595" s="146"/>
      <c r="AG595" s="146"/>
      <c r="AH595" s="146"/>
      <c r="AI595" s="146"/>
      <c r="AJ595" s="146"/>
      <c r="AK595" s="146"/>
      <c r="AL595" s="146"/>
      <c r="AM595" s="146"/>
      <c r="AN595" s="146"/>
    </row>
    <row r="596" spans="2:40" x14ac:dyDescent="0.25">
      <c r="B596" s="12" t="s">
        <v>76</v>
      </c>
      <c r="C596" s="13" t="s">
        <v>373</v>
      </c>
      <c r="D596" s="13" t="s">
        <v>10</v>
      </c>
      <c r="E596" s="858"/>
      <c r="F596" s="859"/>
      <c r="G596" s="340">
        <f>IF(YEAR(Postup!$H$25)&gt;$D536,Provozování!AS$87,IF(AND(DAY(Postup!$H$25)=31,MONTH(Postup!$H$25)=12,YEAR(Postup!$H$25)=$D536),Provozování!AS$87,IF(YEAR(Postup!$H$25)=$D536,Provozování!$BL$87,0)))</f>
        <v>0</v>
      </c>
      <c r="H596" s="341">
        <f>IF(YEAR(Postup!$H$25)&gt;$D536,Provozování!AT$87,IF(AND(DAY(Postup!$H$25)=31,MONTH(Postup!$H$25)=12,YEAR(Postup!$H$25)=$D536),Provozování!AT$87,IF(YEAR(Postup!$H$25)=$D536,Provozování!$BM$87,0)))</f>
        <v>0</v>
      </c>
      <c r="K596" s="12" t="s">
        <v>76</v>
      </c>
      <c r="L596" s="13" t="s">
        <v>373</v>
      </c>
      <c r="M596" s="13" t="s">
        <v>10</v>
      </c>
      <c r="N596" s="858"/>
      <c r="O596" s="859"/>
      <c r="P596" s="340">
        <f>IF(Provozování!$AU$16="Neaktivní",0,Provozování!AU$87)</f>
        <v>0</v>
      </c>
      <c r="Q596" s="341">
        <f>IF(Provozování!AU$16="Neaktivní",0,Provozování!AV$87)</f>
        <v>0</v>
      </c>
      <c r="T596" s="12" t="s">
        <v>76</v>
      </c>
      <c r="U596" s="13" t="s">
        <v>373</v>
      </c>
      <c r="V596" s="13" t="s">
        <v>10</v>
      </c>
      <c r="W596" s="858"/>
      <c r="X596" s="859"/>
      <c r="Y596" s="462">
        <f>IF(Provozování!AU16="Aktivní",Provozování!AU87,Provozování!AS87)</f>
        <v>2.3999896640999999E-2</v>
      </c>
      <c r="Z596" s="14">
        <f>IF(Provozování!$AU$16="Neaktivní",G596,G596*Výpočty!$O$50+P596)</f>
        <v>0</v>
      </c>
      <c r="AA596" s="462">
        <f>IF(Provozování!AU16="Aktivní",Provozování!AV87,Provozování!AT87)</f>
        <v>0.100000278</v>
      </c>
      <c r="AB596" s="15">
        <f>IF(Provozování!$AU$16="Neaktivní",H596,Q596)</f>
        <v>0</v>
      </c>
      <c r="AC596" s="146"/>
      <c r="AD596" s="146"/>
      <c r="AE596" s="146"/>
      <c r="AF596" s="146"/>
      <c r="AG596" s="146"/>
      <c r="AH596" s="146"/>
      <c r="AI596" s="146"/>
      <c r="AJ596" s="146"/>
      <c r="AK596" s="146"/>
      <c r="AL596" s="146"/>
      <c r="AM596" s="146"/>
      <c r="AN596" s="146"/>
    </row>
    <row r="597" spans="2:40" ht="14.45" customHeight="1" x14ac:dyDescent="0.25">
      <c r="B597" s="12" t="s">
        <v>78</v>
      </c>
      <c r="C597" s="21" t="s">
        <v>402</v>
      </c>
      <c r="D597" s="13" t="s">
        <v>77</v>
      </c>
      <c r="E597" s="875" t="s">
        <v>406</v>
      </c>
      <c r="F597" s="1048"/>
      <c r="G597" s="137">
        <f>IF(G595=0,0,G596/G595*100)</f>
        <v>0</v>
      </c>
      <c r="H597" s="138">
        <f>IF(H595=0,0,H596/H595*100)</f>
        <v>0</v>
      </c>
      <c r="K597" s="12" t="s">
        <v>78</v>
      </c>
      <c r="L597" s="21" t="s">
        <v>402</v>
      </c>
      <c r="M597" s="13" t="s">
        <v>77</v>
      </c>
      <c r="N597" s="875" t="s">
        <v>406</v>
      </c>
      <c r="O597" s="1048"/>
      <c r="P597" s="137">
        <f>IF(P595=0,0,P596/P595*100)</f>
        <v>0</v>
      </c>
      <c r="Q597" s="138">
        <f>IF(Q595=0,0,Q596/Q595*100)</f>
        <v>0</v>
      </c>
      <c r="T597" s="12" t="s">
        <v>78</v>
      </c>
      <c r="U597" s="21" t="s">
        <v>402</v>
      </c>
      <c r="V597" s="13" t="s">
        <v>77</v>
      </c>
      <c r="W597" s="875" t="s">
        <v>406</v>
      </c>
      <c r="X597" s="1048"/>
      <c r="Y597" s="137">
        <f>IF(Y595=0,0,Y596/Y595*100)</f>
        <v>0</v>
      </c>
      <c r="Z597" s="137">
        <f>IF(Z595=0,0,Z596/Z595*100)</f>
        <v>0</v>
      </c>
      <c r="AA597" s="137">
        <f>IF(AA595=0,0,AA596/AA595*100)</f>
        <v>0</v>
      </c>
      <c r="AB597" s="138">
        <f>IF(AB595=0,0,AB596/AB595*100)</f>
        <v>0</v>
      </c>
      <c r="AC597" s="146"/>
      <c r="AD597" s="146"/>
      <c r="AE597" s="146"/>
      <c r="AF597" s="146"/>
      <c r="AG597" s="146"/>
      <c r="AH597" s="146"/>
      <c r="AI597" s="146"/>
      <c r="AJ597" s="146"/>
      <c r="AK597" s="146"/>
      <c r="AL597" s="146"/>
      <c r="AM597" s="146"/>
      <c r="AN597" s="146"/>
    </row>
    <row r="598" spans="2:40" x14ac:dyDescent="0.25">
      <c r="B598" s="12" t="s">
        <v>79</v>
      </c>
      <c r="C598" s="21" t="s">
        <v>408</v>
      </c>
      <c r="D598" s="13" t="s">
        <v>10</v>
      </c>
      <c r="E598" s="858" t="s">
        <v>407</v>
      </c>
      <c r="F598" s="870"/>
      <c r="G598" s="310">
        <v>0</v>
      </c>
      <c r="H598" s="111">
        <v>0</v>
      </c>
      <c r="K598" s="12" t="s">
        <v>79</v>
      </c>
      <c r="L598" s="21" t="s">
        <v>408</v>
      </c>
      <c r="M598" s="13" t="s">
        <v>10</v>
      </c>
      <c r="N598" s="858" t="s">
        <v>407</v>
      </c>
      <c r="O598" s="870"/>
      <c r="P598" s="310">
        <v>0</v>
      </c>
      <c r="Q598" s="111">
        <v>0</v>
      </c>
      <c r="T598" s="12" t="s">
        <v>79</v>
      </c>
      <c r="U598" s="21" t="s">
        <v>408</v>
      </c>
      <c r="V598" s="13" t="s">
        <v>10</v>
      </c>
      <c r="W598" s="858" t="s">
        <v>407</v>
      </c>
      <c r="X598" s="870"/>
      <c r="Y598" s="337">
        <v>0</v>
      </c>
      <c r="Z598" s="337">
        <v>0</v>
      </c>
      <c r="AA598" s="337">
        <v>0</v>
      </c>
      <c r="AB598" s="334">
        <v>0</v>
      </c>
      <c r="AC598" s="146"/>
      <c r="AD598" s="146"/>
      <c r="AE598" s="146"/>
      <c r="AF598" s="146"/>
      <c r="AG598" s="146"/>
      <c r="AH598" s="146"/>
      <c r="AI598" s="146"/>
      <c r="AJ598" s="146"/>
      <c r="AK598" s="146"/>
      <c r="AL598" s="146"/>
      <c r="AM598" s="146"/>
      <c r="AN598" s="146"/>
    </row>
    <row r="599" spans="2:40" x14ac:dyDescent="0.25">
      <c r="B599" s="12" t="s">
        <v>80</v>
      </c>
      <c r="C599" s="497" t="s">
        <v>354</v>
      </c>
      <c r="D599" s="13"/>
      <c r="E599" s="858" t="s">
        <v>409</v>
      </c>
      <c r="F599" s="870"/>
      <c r="G599" s="310">
        <f>G596-G598</f>
        <v>0</v>
      </c>
      <c r="H599" s="111">
        <f>H596-H598</f>
        <v>0</v>
      </c>
      <c r="K599" s="12" t="s">
        <v>80</v>
      </c>
      <c r="L599" s="497" t="s">
        <v>354</v>
      </c>
      <c r="M599" s="13"/>
      <c r="N599" s="858" t="s">
        <v>409</v>
      </c>
      <c r="O599" s="870"/>
      <c r="P599" s="310">
        <f>P596-P598</f>
        <v>0</v>
      </c>
      <c r="Q599" s="111">
        <f>Q596-Q598</f>
        <v>0</v>
      </c>
      <c r="T599" s="12" t="s">
        <v>80</v>
      </c>
      <c r="U599" s="497" t="s">
        <v>354</v>
      </c>
      <c r="V599" s="13"/>
      <c r="W599" s="858" t="s">
        <v>409</v>
      </c>
      <c r="X599" s="870"/>
      <c r="Y599" s="337">
        <f>Y596-Y598</f>
        <v>2.3999896640999999E-2</v>
      </c>
      <c r="Z599" s="337">
        <f>Z596-Z598</f>
        <v>0</v>
      </c>
      <c r="AA599" s="337">
        <f>AA596-AA598</f>
        <v>0.100000278</v>
      </c>
      <c r="AB599" s="334">
        <f>AB596-AB598</f>
        <v>0</v>
      </c>
      <c r="AC599" s="146"/>
      <c r="AD599" s="146"/>
      <c r="AE599" s="146"/>
      <c r="AF599" s="146"/>
      <c r="AG599" s="146"/>
      <c r="AH599" s="146"/>
      <c r="AI599" s="146"/>
      <c r="AJ599" s="146"/>
      <c r="AK599" s="146"/>
      <c r="AL599" s="146"/>
      <c r="AM599" s="146"/>
      <c r="AN599" s="146"/>
    </row>
    <row r="600" spans="2:40" x14ac:dyDescent="0.25">
      <c r="B600" s="12" t="s">
        <v>82</v>
      </c>
      <c r="C600" s="13" t="s">
        <v>395</v>
      </c>
      <c r="D600" s="13" t="s">
        <v>10</v>
      </c>
      <c r="E600" s="858" t="s">
        <v>410</v>
      </c>
      <c r="F600" s="870"/>
      <c r="G600" s="340">
        <f>G595+G596</f>
        <v>0</v>
      </c>
      <c r="H600" s="341">
        <f>H595+H596</f>
        <v>0</v>
      </c>
      <c r="K600" s="12" t="s">
        <v>82</v>
      </c>
      <c r="L600" s="13" t="s">
        <v>395</v>
      </c>
      <c r="M600" s="13" t="s">
        <v>10</v>
      </c>
      <c r="N600" s="858" t="s">
        <v>410</v>
      </c>
      <c r="O600" s="870"/>
      <c r="P600" s="340">
        <f>P595+P596</f>
        <v>0</v>
      </c>
      <c r="Q600" s="341">
        <f>Q595+Q596</f>
        <v>0</v>
      </c>
      <c r="T600" s="12" t="s">
        <v>82</v>
      </c>
      <c r="U600" s="13" t="s">
        <v>395</v>
      </c>
      <c r="V600" s="13" t="s">
        <v>10</v>
      </c>
      <c r="W600" s="858" t="s">
        <v>410</v>
      </c>
      <c r="X600" s="870"/>
      <c r="Y600" s="340">
        <f>Y595+Y596</f>
        <v>2.3999896640999999E-2</v>
      </c>
      <c r="Z600" s="340">
        <f>Z595+Z596</f>
        <v>0</v>
      </c>
      <c r="AA600" s="340">
        <f>AA595+AA596</f>
        <v>0.100000278</v>
      </c>
      <c r="AB600" s="341">
        <f>AB595+AB596</f>
        <v>0</v>
      </c>
      <c r="AC600" s="146"/>
      <c r="AD600" s="146"/>
      <c r="AE600" s="146"/>
      <c r="AF600" s="146"/>
      <c r="AG600" s="146"/>
      <c r="AH600" s="146"/>
      <c r="AI600" s="146"/>
      <c r="AJ600" s="146"/>
      <c r="AK600" s="146"/>
      <c r="AL600" s="146"/>
      <c r="AM600" s="146"/>
      <c r="AN600" s="146"/>
    </row>
    <row r="601" spans="2:40" x14ac:dyDescent="0.25">
      <c r="B601" s="12" t="s">
        <v>83</v>
      </c>
      <c r="C601" s="13" t="s">
        <v>81</v>
      </c>
      <c r="D601" s="13" t="s">
        <v>58</v>
      </c>
      <c r="E601" s="858" t="s">
        <v>411</v>
      </c>
      <c r="F601" s="870"/>
      <c r="G601" s="340">
        <f>IF(F578=0,F584,F578)</f>
        <v>0</v>
      </c>
      <c r="H601" s="341">
        <f>IF(H580+H582=0,H585,H580+H582)</f>
        <v>0</v>
      </c>
      <c r="K601" s="12" t="s">
        <v>83</v>
      </c>
      <c r="L601" s="13" t="s">
        <v>81</v>
      </c>
      <c r="M601" s="13" t="s">
        <v>58</v>
      </c>
      <c r="N601" s="858" t="s">
        <v>411</v>
      </c>
      <c r="O601" s="870"/>
      <c r="P601" s="340">
        <f>IF(O578=0,O584,O578)</f>
        <v>0</v>
      </c>
      <c r="Q601" s="341">
        <f>IF(Q580+Q582=0,Q585,Q580+Q582)</f>
        <v>0</v>
      </c>
      <c r="T601" s="12" t="s">
        <v>83</v>
      </c>
      <c r="U601" s="13" t="s">
        <v>81</v>
      </c>
      <c r="V601" s="13" t="s">
        <v>58</v>
      </c>
      <c r="W601" s="858" t="s">
        <v>411</v>
      </c>
      <c r="X601" s="870"/>
      <c r="Y601" s="14">
        <f>IF(W578=0,W584,W578)</f>
        <v>0</v>
      </c>
      <c r="Z601" s="14">
        <f>IF(X578=0,X584,X578)</f>
        <v>0</v>
      </c>
      <c r="AA601" s="14">
        <f>IF(Z580+Z582=0,Z585,Z580+Z582)</f>
        <v>0</v>
      </c>
      <c r="AB601" s="15">
        <f>IF(AA580+AA582=0,AA585,AA580+AA582)</f>
        <v>0</v>
      </c>
      <c r="AC601" s="146"/>
      <c r="AD601" s="146"/>
      <c r="AE601" s="146"/>
      <c r="AF601" s="146"/>
      <c r="AG601" s="146"/>
      <c r="AH601" s="146"/>
      <c r="AI601" s="146"/>
      <c r="AJ601" s="146"/>
      <c r="AK601" s="146"/>
      <c r="AL601" s="146"/>
      <c r="AM601" s="146"/>
      <c r="AN601" s="146"/>
    </row>
    <row r="602" spans="2:40" x14ac:dyDescent="0.25">
      <c r="B602" s="12" t="s">
        <v>155</v>
      </c>
      <c r="C602" s="13" t="s">
        <v>393</v>
      </c>
      <c r="D602" s="13" t="s">
        <v>73</v>
      </c>
      <c r="E602" s="858" t="s">
        <v>412</v>
      </c>
      <c r="F602" s="870"/>
      <c r="G602" s="137">
        <f>IF(G601=0,0,G600/G601)</f>
        <v>0</v>
      </c>
      <c r="H602" s="138">
        <f>IF(H601=0,0,H600/H601)</f>
        <v>0</v>
      </c>
      <c r="K602" s="12" t="s">
        <v>155</v>
      </c>
      <c r="L602" s="13" t="s">
        <v>393</v>
      </c>
      <c r="M602" s="13" t="s">
        <v>73</v>
      </c>
      <c r="N602" s="858" t="s">
        <v>412</v>
      </c>
      <c r="O602" s="870"/>
      <c r="P602" s="137">
        <f>IF(P601=0,0,P600/P601)</f>
        <v>0</v>
      </c>
      <c r="Q602" s="138">
        <f>IF(Q601=0,0,Q600/Q601)</f>
        <v>0</v>
      </c>
      <c r="T602" s="12" t="s">
        <v>155</v>
      </c>
      <c r="U602" s="13" t="s">
        <v>393</v>
      </c>
      <c r="V602" s="13" t="s">
        <v>73</v>
      </c>
      <c r="W602" s="858" t="s">
        <v>412</v>
      </c>
      <c r="X602" s="870"/>
      <c r="Y602" s="137">
        <f>IF(Y601=0,0,Y600/Y601)</f>
        <v>0</v>
      </c>
      <c r="Z602" s="137">
        <f>IF(Z601=0,0,Z600/Z601)</f>
        <v>0</v>
      </c>
      <c r="AA602" s="137">
        <f>IF(AA601=0,0,AA600/AA601)</f>
        <v>0</v>
      </c>
      <c r="AB602" s="138">
        <f>IF(AB601=0,0,AB600/AB601)</f>
        <v>0</v>
      </c>
      <c r="AC602" s="146"/>
      <c r="AD602" s="146"/>
      <c r="AE602" s="146"/>
      <c r="AF602" s="146"/>
      <c r="AG602" s="146"/>
      <c r="AH602" s="146"/>
      <c r="AI602" s="146"/>
      <c r="AJ602" s="146"/>
      <c r="AK602" s="146"/>
      <c r="AL602" s="146"/>
      <c r="AM602" s="146"/>
      <c r="AN602" s="146"/>
    </row>
    <row r="603" spans="2:40" x14ac:dyDescent="0.25">
      <c r="B603" s="210" t="s">
        <v>355</v>
      </c>
      <c r="C603" s="244" t="str">
        <f>CONCATENATE("UPLATŇOVANÁ CENA pro vodné, stočné +",Provozování!E630*100,"% DPH")</f>
        <v>UPLATŇOVANÁ CENA pro vodné, stočné +0% DPH</v>
      </c>
      <c r="D603" s="244" t="s">
        <v>73</v>
      </c>
      <c r="E603" s="858" t="s">
        <v>413</v>
      </c>
      <c r="F603" s="870"/>
      <c r="G603" s="138">
        <f>G602*(1+Provozování!AS$97)</f>
        <v>0</v>
      </c>
      <c r="H603" s="138">
        <f>H602*(1+Provozování!AT$97)</f>
        <v>0</v>
      </c>
      <c r="K603" s="210" t="s">
        <v>355</v>
      </c>
      <c r="L603" s="244" t="str">
        <f>C603</f>
        <v>UPLATŇOVANÁ CENA pro vodné, stočné +0% DPH</v>
      </c>
      <c r="M603" s="244" t="s">
        <v>73</v>
      </c>
      <c r="N603" s="858" t="s">
        <v>413</v>
      </c>
      <c r="O603" s="870"/>
      <c r="P603" s="138">
        <f>P602*(1+Provozování!AS$97)</f>
        <v>0</v>
      </c>
      <c r="Q603" s="138">
        <f>Q602*(1+Provozování!AT$97)</f>
        <v>0</v>
      </c>
      <c r="T603" s="12" t="s">
        <v>355</v>
      </c>
      <c r="U603" s="13" t="str">
        <f>C603</f>
        <v>UPLATŇOVANÁ CENA pro vodné, stočné +0% DPH</v>
      </c>
      <c r="V603" s="13" t="s">
        <v>73</v>
      </c>
      <c r="W603" s="858" t="s">
        <v>413</v>
      </c>
      <c r="X603" s="870"/>
      <c r="Y603" s="137">
        <f>Y602*(1+Provozování!AS$97)</f>
        <v>0</v>
      </c>
      <c r="Z603" s="137">
        <f>Z602*(1+Provozování!AT$97)</f>
        <v>0</v>
      </c>
      <c r="AA603" s="137">
        <f>AA602*(1+Provozování!AS$97)</f>
        <v>0</v>
      </c>
      <c r="AB603" s="138">
        <f>AB602*(1+Provozování!AT$97)</f>
        <v>0</v>
      </c>
      <c r="AC603" s="146"/>
      <c r="AD603" s="146"/>
      <c r="AE603" s="146"/>
      <c r="AF603" s="146"/>
      <c r="AG603" s="146"/>
      <c r="AH603" s="146"/>
      <c r="AI603" s="146"/>
      <c r="AJ603" s="146"/>
      <c r="AK603" s="146"/>
      <c r="AL603" s="146"/>
      <c r="AM603" s="146"/>
      <c r="AN603" s="146"/>
    </row>
    <row r="604" spans="2:40" x14ac:dyDescent="0.25">
      <c r="B604" s="210" t="s">
        <v>356</v>
      </c>
      <c r="C604" s="244" t="s">
        <v>357</v>
      </c>
      <c r="D604" s="244" t="s">
        <v>73</v>
      </c>
      <c r="E604" s="884" t="s">
        <v>414</v>
      </c>
      <c r="F604" s="869"/>
      <c r="G604" s="138">
        <v>0</v>
      </c>
      <c r="H604" s="138">
        <v>0</v>
      </c>
      <c r="K604" s="210" t="s">
        <v>356</v>
      </c>
      <c r="L604" s="244" t="s">
        <v>357</v>
      </c>
      <c r="M604" s="244" t="s">
        <v>73</v>
      </c>
      <c r="N604" s="884" t="s">
        <v>414</v>
      </c>
      <c r="O604" s="869"/>
      <c r="P604" s="138">
        <v>0</v>
      </c>
      <c r="Q604" s="138">
        <v>0</v>
      </c>
      <c r="T604" s="528" t="s">
        <v>356</v>
      </c>
      <c r="U604" s="534" t="s">
        <v>357</v>
      </c>
      <c r="V604" s="2" t="s">
        <v>73</v>
      </c>
      <c r="W604" s="884" t="s">
        <v>414</v>
      </c>
      <c r="X604" s="869"/>
      <c r="Y604" s="529">
        <v>0</v>
      </c>
      <c r="Z604" s="529">
        <v>0</v>
      </c>
      <c r="AA604" s="529">
        <v>0</v>
      </c>
      <c r="AB604" s="530">
        <v>0</v>
      </c>
      <c r="AC604" s="146"/>
      <c r="AD604" s="146"/>
      <c r="AE604" s="146"/>
      <c r="AF604" s="146"/>
      <c r="AG604" s="146"/>
      <c r="AH604" s="146"/>
      <c r="AI604" s="146"/>
      <c r="AJ604" s="146"/>
      <c r="AK604" s="146"/>
      <c r="AL604" s="146"/>
      <c r="AM604" s="146"/>
      <c r="AN604" s="146"/>
    </row>
    <row r="605" spans="2:40" ht="19.5" x14ac:dyDescent="0.25">
      <c r="E605" s="383"/>
      <c r="T605" s="1089" t="s">
        <v>364</v>
      </c>
      <c r="U605" s="1089" t="s">
        <v>154</v>
      </c>
      <c r="V605" s="882" t="s">
        <v>10</v>
      </c>
      <c r="W605" s="854" t="s">
        <v>156</v>
      </c>
      <c r="X605" s="858"/>
      <c r="Y605" s="89" t="s">
        <v>158</v>
      </c>
      <c r="Z605" s="92" t="s">
        <v>159</v>
      </c>
      <c r="AA605" s="89" t="s">
        <v>158</v>
      </c>
      <c r="AB605" s="92" t="s">
        <v>159</v>
      </c>
      <c r="AC605" s="146"/>
      <c r="AD605" s="146"/>
      <c r="AE605" s="146"/>
      <c r="AF605" s="146"/>
      <c r="AG605" s="146"/>
      <c r="AH605" s="146"/>
      <c r="AI605" s="146"/>
      <c r="AJ605" s="146"/>
      <c r="AK605" s="146"/>
      <c r="AL605" s="146"/>
      <c r="AM605" s="146"/>
      <c r="AN605" s="146"/>
    </row>
    <row r="606" spans="2:40" x14ac:dyDescent="0.25">
      <c r="B606" s="383" t="s">
        <v>283</v>
      </c>
      <c r="E606" s="383"/>
      <c r="T606" s="1090"/>
      <c r="U606" s="1090"/>
      <c r="V606" s="1092"/>
      <c r="W606" s="1093">
        <v>0</v>
      </c>
      <c r="X606" s="1094"/>
      <c r="Y606" s="90">
        <f>W536</f>
        <v>2031</v>
      </c>
      <c r="Z606" s="90">
        <f>W536</f>
        <v>2031</v>
      </c>
      <c r="AA606" s="90">
        <f>W536</f>
        <v>2031</v>
      </c>
      <c r="AB606" s="90">
        <f>W536</f>
        <v>2031</v>
      </c>
      <c r="AC606" s="146"/>
      <c r="AD606" s="146"/>
      <c r="AE606" s="146"/>
      <c r="AF606" s="146"/>
      <c r="AG606" s="146"/>
      <c r="AH606" s="146"/>
      <c r="AI606" s="146"/>
      <c r="AJ606" s="146"/>
      <c r="AK606" s="146"/>
      <c r="AL606" s="146"/>
      <c r="AM606" s="146"/>
      <c r="AN606" s="146"/>
    </row>
    <row r="607" spans="2:40" x14ac:dyDescent="0.25">
      <c r="B607" s="383" t="s">
        <v>284</v>
      </c>
      <c r="T607" s="1090"/>
      <c r="U607" s="1090"/>
      <c r="V607" s="1092"/>
      <c r="W607" s="854" t="s">
        <v>157</v>
      </c>
      <c r="X607" s="858"/>
      <c r="Y607" s="91" t="s">
        <v>160</v>
      </c>
      <c r="Z607" s="91" t="s">
        <v>160</v>
      </c>
      <c r="AA607" s="91" t="s">
        <v>161</v>
      </c>
      <c r="AB607" s="91" t="s">
        <v>161</v>
      </c>
      <c r="AC607" s="146"/>
      <c r="AD607" s="146"/>
      <c r="AE607" s="146"/>
      <c r="AF607" s="146"/>
      <c r="AG607" s="146"/>
      <c r="AH607" s="146"/>
      <c r="AI607" s="146"/>
      <c r="AJ607" s="146"/>
      <c r="AK607" s="146"/>
      <c r="AL607" s="146"/>
      <c r="AM607" s="146"/>
      <c r="AN607" s="146"/>
    </row>
    <row r="608" spans="2:40" x14ac:dyDescent="0.25">
      <c r="T608" s="1091"/>
      <c r="U608" s="1091"/>
      <c r="V608" s="883"/>
      <c r="W608" s="1095">
        <v>0</v>
      </c>
      <c r="X608" s="1093"/>
      <c r="Y608" s="464">
        <v>0</v>
      </c>
      <c r="Z608" s="464">
        <v>0</v>
      </c>
      <c r="AA608" s="464">
        <v>0</v>
      </c>
      <c r="AB608" s="464">
        <v>0</v>
      </c>
      <c r="AC608" s="146"/>
      <c r="AD608" s="146"/>
      <c r="AE608" s="146"/>
      <c r="AF608" s="146"/>
      <c r="AG608" s="146"/>
      <c r="AH608" s="146"/>
      <c r="AI608" s="146"/>
      <c r="AJ608" s="146"/>
      <c r="AK608" s="146"/>
      <c r="AL608" s="146"/>
      <c r="AM608" s="146"/>
      <c r="AN608" s="146"/>
    </row>
    <row r="609" spans="1:40" x14ac:dyDescent="0.25">
      <c r="A609" s="252"/>
      <c r="B609" s="29"/>
      <c r="C609" s="29"/>
      <c r="D609" s="29"/>
      <c r="E609" s="29"/>
      <c r="F609" s="29"/>
      <c r="G609" s="29"/>
      <c r="H609" s="29"/>
      <c r="I609" s="29"/>
      <c r="J609" s="29"/>
      <c r="K609" s="29"/>
      <c r="L609" s="29"/>
      <c r="M609" s="29"/>
      <c r="N609" s="29"/>
      <c r="O609" s="29"/>
      <c r="P609" s="29"/>
      <c r="Q609" s="29"/>
      <c r="R609" s="29"/>
      <c r="AC609" s="146"/>
      <c r="AD609" s="146"/>
      <c r="AE609" s="146"/>
      <c r="AF609" s="146"/>
      <c r="AG609" s="338"/>
      <c r="AH609" s="338"/>
    </row>
    <row r="610" spans="1:40" x14ac:dyDescent="0.25">
      <c r="B610" s="899" t="s">
        <v>316</v>
      </c>
      <c r="C610" s="900"/>
      <c r="D610" s="900"/>
      <c r="E610" s="900"/>
      <c r="F610" s="900"/>
      <c r="G610" s="900"/>
      <c r="H610" s="900"/>
      <c r="K610" s="899" t="s">
        <v>317</v>
      </c>
      <c r="L610" s="900"/>
      <c r="M610" s="900"/>
      <c r="N610" s="900"/>
      <c r="O610" s="900"/>
      <c r="P610" s="900"/>
      <c r="Q610" s="900"/>
      <c r="T610" s="899" t="s">
        <v>162</v>
      </c>
      <c r="U610" s="900"/>
      <c r="V610" s="900"/>
      <c r="W610" s="900"/>
      <c r="X610" s="900"/>
      <c r="Y610" s="900"/>
      <c r="Z610" s="900"/>
      <c r="AA610" s="900"/>
      <c r="AB610" s="900"/>
      <c r="AC610" s="146"/>
      <c r="AD610" s="146"/>
      <c r="AK610" s="146"/>
      <c r="AL610" s="146"/>
      <c r="AM610" s="146"/>
      <c r="AN610" s="146"/>
    </row>
    <row r="611" spans="1:40" x14ac:dyDescent="0.25">
      <c r="C611" s="272"/>
      <c r="E611" s="25"/>
      <c r="F611" s="25"/>
      <c r="L611" s="25"/>
      <c r="N611" s="25"/>
      <c r="T611" s="1079" t="s">
        <v>318</v>
      </c>
      <c r="U611" s="1079"/>
      <c r="V611" s="1079"/>
      <c r="W611" s="1079"/>
      <c r="X611" s="1079"/>
      <c r="Y611" s="1079"/>
      <c r="Z611" s="1079"/>
      <c r="AA611" s="1079"/>
      <c r="AB611" s="1079"/>
      <c r="AC611" s="146"/>
      <c r="AD611" s="146"/>
      <c r="AK611" s="146"/>
      <c r="AL611" s="146"/>
      <c r="AM611" s="146"/>
      <c r="AN611" s="146"/>
    </row>
    <row r="612" spans="1:40" x14ac:dyDescent="0.25">
      <c r="C612" s="272" t="s">
        <v>103</v>
      </c>
      <c r="D612" s="274">
        <f>D536+1</f>
        <v>2032</v>
      </c>
      <c r="E612" s="25"/>
      <c r="F612" s="272" t="s">
        <v>221</v>
      </c>
      <c r="G612" s="275" t="str">
        <f>Výpočty!P$48</f>
        <v>-</v>
      </c>
      <c r="H612" s="275" t="str">
        <f>IF(Výpočty!P$49="-"," ",CONCATENATE("- ",DAY(Výpočty!P$49),".",MONTH(Výpočty!P$49),".",D612))</f>
        <v xml:space="preserve"> </v>
      </c>
      <c r="L612" s="272" t="s">
        <v>103</v>
      </c>
      <c r="M612" s="274">
        <f>D612</f>
        <v>2032</v>
      </c>
      <c r="O612" s="272" t="s">
        <v>221</v>
      </c>
      <c r="P612" s="360" t="str">
        <f>Výpočty!P$44</f>
        <v>-</v>
      </c>
      <c r="Q612" s="360" t="str">
        <f>IF(P612="-"," ",H612)</f>
        <v xml:space="preserve"> </v>
      </c>
      <c r="T612" s="333"/>
      <c r="U612" s="333"/>
      <c r="V612" s="342" t="s">
        <v>147</v>
      </c>
      <c r="W612" s="274">
        <f>D612</f>
        <v>2032</v>
      </c>
      <c r="Z612" s="272" t="s">
        <v>221</v>
      </c>
      <c r="AA612" s="275" t="str">
        <f>G612</f>
        <v>-</v>
      </c>
      <c r="AB612" s="275" t="str">
        <f>H612</f>
        <v xml:space="preserve"> </v>
      </c>
      <c r="AC612" s="146"/>
      <c r="AD612" s="146"/>
      <c r="AK612" s="146"/>
      <c r="AL612" s="146"/>
      <c r="AM612" s="146"/>
      <c r="AN612" s="146"/>
    </row>
    <row r="613" spans="1:40" x14ac:dyDescent="0.25">
      <c r="B613" s="13" t="s">
        <v>66</v>
      </c>
      <c r="C613" s="13" t="s">
        <v>89</v>
      </c>
      <c r="D613" s="902" t="str">
        <f t="shared" ref="D613:D618" si="65">D537</f>
        <v>PRVOK s.r.o., IČ 281 28 257</v>
      </c>
      <c r="E613" s="903"/>
      <c r="F613" s="903"/>
      <c r="G613" s="903"/>
      <c r="H613" s="904"/>
      <c r="K613" s="13" t="s">
        <v>66</v>
      </c>
      <c r="L613" s="13" t="s">
        <v>89</v>
      </c>
      <c r="M613" s="1080" t="str">
        <f>D613</f>
        <v>PRVOK s.r.o., IČ 281 28 257</v>
      </c>
      <c r="N613" s="1081"/>
      <c r="O613" s="1081"/>
      <c r="P613" s="1081"/>
      <c r="Q613" s="1081"/>
      <c r="T613" s="13" t="s">
        <v>66</v>
      </c>
      <c r="U613" s="13" t="s">
        <v>89</v>
      </c>
      <c r="V613" s="1080" t="str">
        <f>D613</f>
        <v>PRVOK s.r.o., IČ 281 28 257</v>
      </c>
      <c r="W613" s="1081"/>
      <c r="X613" s="1081"/>
      <c r="Y613" s="1081"/>
      <c r="Z613" s="1081"/>
      <c r="AA613" s="1081"/>
      <c r="AB613" s="1081"/>
      <c r="AC613" s="146"/>
      <c r="AD613" s="146"/>
      <c r="AK613" s="146"/>
      <c r="AL613" s="146"/>
      <c r="AM613" s="146"/>
      <c r="AN613" s="146"/>
    </row>
    <row r="614" spans="1:40" x14ac:dyDescent="0.25">
      <c r="B614" s="13" t="s">
        <v>84</v>
      </c>
      <c r="C614" s="13" t="s">
        <v>90</v>
      </c>
      <c r="D614" s="902" t="str">
        <f t="shared" si="65"/>
        <v>PRVOK s.r.o., IČ 281 28 257</v>
      </c>
      <c r="E614" s="903"/>
      <c r="F614" s="903"/>
      <c r="G614" s="903"/>
      <c r="H614" s="904"/>
      <c r="K614" s="13" t="s">
        <v>84</v>
      </c>
      <c r="L614" s="13" t="s">
        <v>90</v>
      </c>
      <c r="M614" s="1061" t="str">
        <f>D614</f>
        <v>PRVOK s.r.o., IČ 281 28 257</v>
      </c>
      <c r="N614" s="1062"/>
      <c r="O614" s="1062"/>
      <c r="P614" s="1062"/>
      <c r="Q614" s="1063"/>
      <c r="T614" s="13" t="s">
        <v>84</v>
      </c>
      <c r="U614" s="13" t="s">
        <v>90</v>
      </c>
      <c r="V614" s="1061" t="str">
        <f>D614</f>
        <v>PRVOK s.r.o., IČ 281 28 257</v>
      </c>
      <c r="W614" s="1062"/>
      <c r="X614" s="1062"/>
      <c r="Y614" s="1062"/>
      <c r="Z614" s="1062"/>
      <c r="AA614" s="1062"/>
      <c r="AB614" s="1063"/>
      <c r="AC614" s="146"/>
      <c r="AD614" s="146"/>
      <c r="AK614" s="146"/>
      <c r="AL614" s="146"/>
      <c r="AM614" s="146"/>
      <c r="AN614" s="146"/>
    </row>
    <row r="615" spans="1:40" x14ac:dyDescent="0.25">
      <c r="B615" s="13" t="s">
        <v>85</v>
      </c>
      <c r="C615" s="13" t="s">
        <v>91</v>
      </c>
      <c r="D615" s="902" t="str">
        <f t="shared" si="65"/>
        <v>Obec Benešov nad Černou, IČ 00245780</v>
      </c>
      <c r="E615" s="903"/>
      <c r="F615" s="903"/>
      <c r="G615" s="903"/>
      <c r="H615" s="904"/>
      <c r="K615" s="13" t="s">
        <v>85</v>
      </c>
      <c r="L615" s="13" t="s">
        <v>91</v>
      </c>
      <c r="M615" s="1061" t="str">
        <f>D615</f>
        <v>Obec Benešov nad Černou, IČ 00245780</v>
      </c>
      <c r="N615" s="1062"/>
      <c r="O615" s="1062"/>
      <c r="P615" s="1062"/>
      <c r="Q615" s="1063"/>
      <c r="T615" s="13" t="s">
        <v>85</v>
      </c>
      <c r="U615" s="13" t="s">
        <v>91</v>
      </c>
      <c r="V615" s="1061" t="str">
        <f>D615</f>
        <v>Obec Benešov nad Černou, IČ 00245780</v>
      </c>
      <c r="W615" s="1062"/>
      <c r="X615" s="1062"/>
      <c r="Y615" s="1062"/>
      <c r="Z615" s="1062"/>
      <c r="AA615" s="1062"/>
      <c r="AB615" s="1063"/>
      <c r="AC615" s="146"/>
      <c r="AD615" s="146"/>
      <c r="AK615" s="146"/>
      <c r="AL615" s="146"/>
      <c r="AM615" s="146"/>
      <c r="AN615" s="146"/>
    </row>
    <row r="616" spans="1:40" x14ac:dyDescent="0.25">
      <c r="B616" s="13" t="s">
        <v>86</v>
      </c>
      <c r="C616" s="13" t="s">
        <v>93</v>
      </c>
      <c r="D616" s="1055" t="str">
        <f t="shared" si="65"/>
        <v>A</v>
      </c>
      <c r="E616" s="1056"/>
      <c r="F616" s="1056"/>
      <c r="G616" s="1056"/>
      <c r="H616" s="1057"/>
      <c r="K616" s="13" t="s">
        <v>86</v>
      </c>
      <c r="L616" s="13" t="s">
        <v>93</v>
      </c>
      <c r="M616" s="1058" t="str">
        <f>IF($D616="[vyplnit]"," ",$D616)</f>
        <v>A</v>
      </c>
      <c r="N616" s="1059"/>
      <c r="O616" s="1059"/>
      <c r="P616" s="1059"/>
      <c r="Q616" s="1060"/>
      <c r="T616" s="13" t="s">
        <v>86</v>
      </c>
      <c r="U616" s="13" t="s">
        <v>93</v>
      </c>
      <c r="V616" s="1064" t="str">
        <f>IF($D616="[vyplnit]"," ",$D616)</f>
        <v>A</v>
      </c>
      <c r="W616" s="1064"/>
      <c r="X616" s="1064"/>
      <c r="Y616" s="1064"/>
      <c r="Z616" s="1064"/>
      <c r="AA616" s="1064"/>
      <c r="AB616" s="1064"/>
      <c r="AC616" s="146"/>
      <c r="AD616" s="146"/>
      <c r="AK616" s="146"/>
      <c r="AL616" s="146"/>
      <c r="AM616" s="146"/>
      <c r="AN616" s="146"/>
    </row>
    <row r="617" spans="1:40" x14ac:dyDescent="0.25">
      <c r="B617" s="13" t="s">
        <v>87</v>
      </c>
      <c r="C617" s="13" t="s">
        <v>92</v>
      </c>
      <c r="D617" s="1055">
        <f t="shared" si="65"/>
        <v>1</v>
      </c>
      <c r="E617" s="1056"/>
      <c r="F617" s="1056"/>
      <c r="G617" s="1056"/>
      <c r="H617" s="1057"/>
      <c r="K617" s="13" t="s">
        <v>87</v>
      </c>
      <c r="L617" s="13" t="s">
        <v>92</v>
      </c>
      <c r="M617" s="1058">
        <f>IF($D617="[vyplnit]"," ",$D617)</f>
        <v>1</v>
      </c>
      <c r="N617" s="1059"/>
      <c r="O617" s="1059"/>
      <c r="P617" s="1059"/>
      <c r="Q617" s="1060"/>
      <c r="T617" s="13" t="s">
        <v>87</v>
      </c>
      <c r="U617" s="13" t="s">
        <v>92</v>
      </c>
      <c r="V617" s="1064">
        <f>IF($D617="[vyplnit]"," ",$D617)</f>
        <v>1</v>
      </c>
      <c r="W617" s="1064"/>
      <c r="X617" s="1064"/>
      <c r="Y617" s="1064"/>
      <c r="Z617" s="1064"/>
      <c r="AA617" s="1064"/>
      <c r="AB617" s="1064"/>
      <c r="AC617" s="146"/>
      <c r="AD617" s="146"/>
      <c r="AK617" s="146"/>
      <c r="AL617" s="146"/>
      <c r="AM617" s="146"/>
      <c r="AN617" s="146"/>
    </row>
    <row r="618" spans="1:40" x14ac:dyDescent="0.25">
      <c r="B618" s="13" t="s">
        <v>88</v>
      </c>
      <c r="C618" s="13" t="s">
        <v>94</v>
      </c>
      <c r="D618" s="1055" t="str">
        <f t="shared" si="65"/>
        <v>[vyplnit]</v>
      </c>
      <c r="E618" s="1056"/>
      <c r="F618" s="1056"/>
      <c r="G618" s="1056"/>
      <c r="H618" s="1057"/>
      <c r="K618" s="13" t="s">
        <v>88</v>
      </c>
      <c r="L618" s="13" t="s">
        <v>94</v>
      </c>
      <c r="M618" s="1058" t="str">
        <f>IF($D618="[vyplnit]"," ",$D618)</f>
        <v xml:space="preserve"> </v>
      </c>
      <c r="N618" s="1059"/>
      <c r="O618" s="1059"/>
      <c r="P618" s="1059"/>
      <c r="Q618" s="1060"/>
      <c r="T618" s="13" t="s">
        <v>88</v>
      </c>
      <c r="U618" s="13" t="s">
        <v>94</v>
      </c>
      <c r="V618" s="1064" t="str">
        <f>IF($D618="[vyplnit]"," ",$D618)</f>
        <v xml:space="preserve"> </v>
      </c>
      <c r="W618" s="1064"/>
      <c r="X618" s="1064"/>
      <c r="Y618" s="1064"/>
      <c r="Z618" s="1064"/>
      <c r="AA618" s="1064"/>
      <c r="AB618" s="1064"/>
      <c r="AC618" s="146"/>
      <c r="AD618" s="146"/>
      <c r="AK618" s="146"/>
      <c r="AL618" s="146"/>
      <c r="AM618" s="146"/>
      <c r="AN618" s="146"/>
    </row>
    <row r="619" spans="1:40" x14ac:dyDescent="0.25">
      <c r="AC619" s="146"/>
      <c r="AK619" s="146"/>
      <c r="AL619" s="146"/>
      <c r="AM619" s="146"/>
      <c r="AN619" s="146"/>
    </row>
    <row r="620" spans="1:40" x14ac:dyDescent="0.25">
      <c r="B620" s="1052" t="s">
        <v>5</v>
      </c>
      <c r="C620" s="884" t="s">
        <v>0</v>
      </c>
      <c r="D620" s="868"/>
      <c r="E620" s="868"/>
      <c r="F620" s="868"/>
      <c r="G620" s="868"/>
      <c r="H620" s="869"/>
      <c r="K620" s="1052" t="s">
        <v>5</v>
      </c>
      <c r="L620" s="884" t="s">
        <v>0</v>
      </c>
      <c r="M620" s="868"/>
      <c r="N620" s="868"/>
      <c r="O620" s="868"/>
      <c r="P620" s="868"/>
      <c r="Q620" s="869"/>
      <c r="T620" s="1052" t="s">
        <v>5</v>
      </c>
      <c r="U620" s="884" t="s">
        <v>0</v>
      </c>
      <c r="V620" s="868"/>
      <c r="W620" s="868"/>
      <c r="X620" s="868"/>
      <c r="Y620" s="868"/>
      <c r="Z620" s="868"/>
      <c r="AA620" s="868"/>
      <c r="AB620" s="869"/>
      <c r="AC620" s="146"/>
      <c r="AK620" s="146"/>
      <c r="AL620" s="146"/>
      <c r="AM620" s="146"/>
      <c r="AN620" s="146"/>
    </row>
    <row r="621" spans="1:40" x14ac:dyDescent="0.25">
      <c r="B621" s="1053"/>
      <c r="C621" s="1052" t="s">
        <v>1</v>
      </c>
      <c r="D621" s="1065" t="s">
        <v>133</v>
      </c>
      <c r="E621" s="884" t="s">
        <v>3</v>
      </c>
      <c r="F621" s="868"/>
      <c r="G621" s="884" t="s">
        <v>4</v>
      </c>
      <c r="H621" s="869"/>
      <c r="K621" s="1053"/>
      <c r="L621" s="1052" t="s">
        <v>1</v>
      </c>
      <c r="M621" s="1065" t="s">
        <v>133</v>
      </c>
      <c r="N621" s="884" t="s">
        <v>3</v>
      </c>
      <c r="O621" s="868"/>
      <c r="P621" s="884" t="s">
        <v>4</v>
      </c>
      <c r="Q621" s="869"/>
      <c r="T621" s="1053"/>
      <c r="U621" s="1052" t="s">
        <v>1</v>
      </c>
      <c r="V621" s="1065" t="s">
        <v>133</v>
      </c>
      <c r="W621" s="884" t="s">
        <v>3</v>
      </c>
      <c r="X621" s="868"/>
      <c r="Y621" s="868"/>
      <c r="Z621" s="884" t="s">
        <v>4</v>
      </c>
      <c r="AA621" s="868"/>
      <c r="AB621" s="869"/>
      <c r="AC621" s="146"/>
      <c r="AK621" s="146"/>
      <c r="AL621" s="146"/>
      <c r="AM621" s="146"/>
      <c r="AN621" s="146"/>
    </row>
    <row r="622" spans="1:40" x14ac:dyDescent="0.25">
      <c r="B622" s="1053"/>
      <c r="C622" s="1053"/>
      <c r="D622" s="1053"/>
      <c r="E622" s="28">
        <f>D612-1</f>
        <v>2031</v>
      </c>
      <c r="F622" s="28">
        <f>D612</f>
        <v>2032</v>
      </c>
      <c r="G622" s="28">
        <f>D612-1</f>
        <v>2031</v>
      </c>
      <c r="H622" s="28">
        <f>D612</f>
        <v>2032</v>
      </c>
      <c r="K622" s="1053"/>
      <c r="L622" s="1053"/>
      <c r="M622" s="1053"/>
      <c r="N622" s="28">
        <f>M612-1</f>
        <v>2031</v>
      </c>
      <c r="O622" s="28">
        <f>M612</f>
        <v>2032</v>
      </c>
      <c r="P622" s="28">
        <f>M612-1</f>
        <v>2031</v>
      </c>
      <c r="Q622" s="28">
        <f>M612</f>
        <v>2032</v>
      </c>
      <c r="T622" s="1053"/>
      <c r="U622" s="1053"/>
      <c r="V622" s="1053"/>
      <c r="W622" s="28">
        <f>W612</f>
        <v>2032</v>
      </c>
      <c r="X622" s="28">
        <f>W612</f>
        <v>2032</v>
      </c>
      <c r="Y622" s="28">
        <f>W612</f>
        <v>2032</v>
      </c>
      <c r="Z622" s="28">
        <f>W612</f>
        <v>2032</v>
      </c>
      <c r="AA622" s="28">
        <f>W612</f>
        <v>2032</v>
      </c>
      <c r="AB622" s="28">
        <f>W612</f>
        <v>2032</v>
      </c>
      <c r="AC622" s="146"/>
      <c r="AK622" s="146"/>
      <c r="AL622" s="146"/>
      <c r="AM622" s="146"/>
      <c r="AN622" s="146"/>
    </row>
    <row r="623" spans="1:40" x14ac:dyDescent="0.25">
      <c r="B623" s="1054"/>
      <c r="C623" s="1054"/>
      <c r="D623" s="1054"/>
      <c r="E623" s="7" t="s">
        <v>151</v>
      </c>
      <c r="F623" s="7" t="s">
        <v>98</v>
      </c>
      <c r="G623" s="7" t="s">
        <v>151</v>
      </c>
      <c r="H623" s="19" t="s">
        <v>98</v>
      </c>
      <c r="K623" s="1054"/>
      <c r="L623" s="1054"/>
      <c r="M623" s="1054"/>
      <c r="N623" s="7" t="s">
        <v>151</v>
      </c>
      <c r="O623" s="7" t="s">
        <v>98</v>
      </c>
      <c r="P623" s="7" t="s">
        <v>151</v>
      </c>
      <c r="Q623" s="19" t="s">
        <v>98</v>
      </c>
      <c r="T623" s="1054"/>
      <c r="U623" s="1054"/>
      <c r="V623" s="1054"/>
      <c r="W623" s="7" t="s">
        <v>150</v>
      </c>
      <c r="X623" s="7" t="s">
        <v>98</v>
      </c>
      <c r="Y623" s="7" t="s">
        <v>149</v>
      </c>
      <c r="Z623" s="7" t="s">
        <v>150</v>
      </c>
      <c r="AA623" s="7" t="s">
        <v>98</v>
      </c>
      <c r="AB623" s="19" t="s">
        <v>149</v>
      </c>
      <c r="AC623" s="146"/>
      <c r="AK623" s="146"/>
      <c r="AL623" s="146"/>
      <c r="AM623" s="146"/>
      <c r="AN623" s="146"/>
    </row>
    <row r="624" spans="1:40" x14ac:dyDescent="0.25">
      <c r="B624" s="11">
        <v>1</v>
      </c>
      <c r="C624" s="11">
        <v>2</v>
      </c>
      <c r="D624" s="11" t="s">
        <v>95</v>
      </c>
      <c r="E624" s="11">
        <v>3</v>
      </c>
      <c r="F624" s="11">
        <v>4</v>
      </c>
      <c r="G624" s="11">
        <v>6</v>
      </c>
      <c r="H624" s="22">
        <v>7</v>
      </c>
      <c r="K624" s="11">
        <v>1</v>
      </c>
      <c r="L624" s="11">
        <v>2</v>
      </c>
      <c r="M624" s="11" t="s">
        <v>95</v>
      </c>
      <c r="N624" s="11">
        <v>3</v>
      </c>
      <c r="O624" s="11">
        <v>4</v>
      </c>
      <c r="P624" s="11">
        <v>6</v>
      </c>
      <c r="Q624" s="22">
        <v>7</v>
      </c>
      <c r="T624" s="11">
        <v>1</v>
      </c>
      <c r="U624" s="11">
        <v>2</v>
      </c>
      <c r="V624" s="11" t="s">
        <v>95</v>
      </c>
      <c r="W624" s="11">
        <v>3</v>
      </c>
      <c r="X624" s="11">
        <v>4</v>
      </c>
      <c r="Y624" s="11">
        <v>5</v>
      </c>
      <c r="Z624" s="11">
        <v>6</v>
      </c>
      <c r="AA624" s="11">
        <v>7</v>
      </c>
      <c r="AB624" s="22">
        <v>8</v>
      </c>
      <c r="AC624" s="146"/>
      <c r="AK624" s="146"/>
      <c r="AL624" s="146"/>
      <c r="AM624" s="146"/>
      <c r="AN624" s="146"/>
    </row>
    <row r="625" spans="2:40" x14ac:dyDescent="0.25">
      <c r="B625" s="9" t="s">
        <v>8</v>
      </c>
      <c r="C625" s="10" t="s">
        <v>9</v>
      </c>
      <c r="D625" s="11" t="s">
        <v>10</v>
      </c>
      <c r="E625" s="41">
        <f>SUM(E626:E629)</f>
        <v>0</v>
      </c>
      <c r="F625" s="41">
        <f>SUM(F626:F629)</f>
        <v>0</v>
      </c>
      <c r="G625" s="41">
        <f>SUM(G626:G629)</f>
        <v>0</v>
      </c>
      <c r="H625" s="86">
        <f>SUM(H626:H629)</f>
        <v>0</v>
      </c>
      <c r="K625" s="9" t="s">
        <v>8</v>
      </c>
      <c r="L625" s="10" t="s">
        <v>9</v>
      </c>
      <c r="M625" s="11" t="s">
        <v>10</v>
      </c>
      <c r="N625" s="41">
        <f>SUM(N626:N629)</f>
        <v>0</v>
      </c>
      <c r="O625" s="41">
        <f>SUM(O626:O629)</f>
        <v>0</v>
      </c>
      <c r="P625" s="41">
        <f>SUM(P626:P629)</f>
        <v>0</v>
      </c>
      <c r="Q625" s="86">
        <f>SUM(Q626:Q629)</f>
        <v>0</v>
      </c>
      <c r="T625" s="9" t="s">
        <v>8</v>
      </c>
      <c r="U625" s="10" t="s">
        <v>9</v>
      </c>
      <c r="V625" s="11" t="s">
        <v>10</v>
      </c>
      <c r="W625" s="86">
        <f t="shared" ref="W625:AB625" si="66">SUM(W626:W629)</f>
        <v>0</v>
      </c>
      <c r="X625" s="86">
        <f t="shared" si="66"/>
        <v>0</v>
      </c>
      <c r="Y625" s="86">
        <f t="shared" si="66"/>
        <v>0</v>
      </c>
      <c r="Z625" s="86">
        <f t="shared" si="66"/>
        <v>0</v>
      </c>
      <c r="AA625" s="86">
        <f t="shared" si="66"/>
        <v>0</v>
      </c>
      <c r="AB625" s="86">
        <f t="shared" si="66"/>
        <v>0</v>
      </c>
      <c r="AC625" s="146"/>
      <c r="AK625" s="146"/>
      <c r="AL625" s="146"/>
      <c r="AM625" s="146"/>
      <c r="AN625" s="146"/>
    </row>
    <row r="626" spans="2:40" x14ac:dyDescent="0.25">
      <c r="B626" s="12" t="s">
        <v>11</v>
      </c>
      <c r="C626" s="13" t="s">
        <v>12</v>
      </c>
      <c r="D626" s="3" t="s">
        <v>10</v>
      </c>
      <c r="E626" s="44">
        <v>0</v>
      </c>
      <c r="F626" s="44">
        <f>IF(YEAR(Postup!$H$25)&gt;$D$612,Provozování!AX23,IF(AND(DAY(Postup!$H$25)=31,MONTH(Postup!$H$25)=12,YEAR(Postup!$H$25)=$D$612),Provozování!AX23,IF(YEAR(Postup!$H$25)=$D$612,Provozování!$BL23,0)))</f>
        <v>0</v>
      </c>
      <c r="G626" s="44">
        <v>0</v>
      </c>
      <c r="H626" s="334">
        <v>0</v>
      </c>
      <c r="K626" s="12" t="s">
        <v>11</v>
      </c>
      <c r="L626" s="13" t="s">
        <v>12</v>
      </c>
      <c r="M626" s="3" t="s">
        <v>10</v>
      </c>
      <c r="N626" s="44">
        <v>0</v>
      </c>
      <c r="O626" s="44">
        <f>IF(Provozování!$AZ$16="Neaktivní",0,Provozování!AZ23)</f>
        <v>0</v>
      </c>
      <c r="P626" s="44">
        <v>0</v>
      </c>
      <c r="Q626" s="334">
        <v>0</v>
      </c>
      <c r="T626" s="12" t="s">
        <v>11</v>
      </c>
      <c r="U626" s="13" t="s">
        <v>12</v>
      </c>
      <c r="V626" s="3" t="s">
        <v>10</v>
      </c>
      <c r="W626" s="462">
        <v>0</v>
      </c>
      <c r="X626" s="44">
        <f>IF(Provozování!$AX$16="Neaktivní",F626,O626)</f>
        <v>0</v>
      </c>
      <c r="Y626" s="44">
        <f>W626-X626</f>
        <v>0</v>
      </c>
      <c r="Z626" s="337">
        <v>0</v>
      </c>
      <c r="AA626" s="337">
        <v>0</v>
      </c>
      <c r="AB626" s="334">
        <v>0</v>
      </c>
      <c r="AC626" s="146"/>
      <c r="AK626" s="146"/>
      <c r="AL626" s="146"/>
      <c r="AM626" s="146"/>
      <c r="AN626" s="146"/>
    </row>
    <row r="627" spans="2:40" x14ac:dyDescent="0.25">
      <c r="B627" s="12" t="s">
        <v>13</v>
      </c>
      <c r="C627" s="12" t="s">
        <v>14</v>
      </c>
      <c r="D627" s="3" t="s">
        <v>10</v>
      </c>
      <c r="E627" s="52">
        <v>0</v>
      </c>
      <c r="F627" s="44">
        <f>IF(YEAR(Postup!$H$25)&gt;$D$612,Provozování!AX24,IF(AND(DAY(Postup!$H$25)=31,MONTH(Postup!$H$25)=12,YEAR(Postup!$H$25)=$D$612),Provozování!AX24,IF(YEAR(Postup!$H$25)=$D$612,Provozování!$BL24,0)))</f>
        <v>0</v>
      </c>
      <c r="G627" s="52">
        <v>0</v>
      </c>
      <c r="H627" s="30">
        <f>IF(YEAR(Postup!$H$25)&gt;$D$612,Provozování!AY24,IF(AND(DAY(Postup!$H$25)=31,MONTH(Postup!$H$25)=12,YEAR(Postup!$H$25)=$D$612),Provozování!AY24,IF(YEAR(Postup!$H$25)=$D$612,Provozování!$BM24,0)))</f>
        <v>0</v>
      </c>
      <c r="K627" s="12" t="s">
        <v>13</v>
      </c>
      <c r="L627" s="12" t="s">
        <v>14</v>
      </c>
      <c r="M627" s="3" t="s">
        <v>10</v>
      </c>
      <c r="N627" s="52">
        <v>0</v>
      </c>
      <c r="O627" s="44">
        <f>IF(Provozování!$AZ$16="Neaktivní",0,Provozování!AZ24)</f>
        <v>0</v>
      </c>
      <c r="P627" s="52">
        <v>0</v>
      </c>
      <c r="Q627" s="53">
        <f>IF(Provozování!$AZ$16="Neaktivní",0,Provozování!BA24)</f>
        <v>0</v>
      </c>
      <c r="T627" s="12" t="s">
        <v>13</v>
      </c>
      <c r="U627" s="12" t="s">
        <v>14</v>
      </c>
      <c r="V627" s="3" t="s">
        <v>10</v>
      </c>
      <c r="W627" s="463">
        <v>0</v>
      </c>
      <c r="X627" s="44">
        <f>IF(Provozování!$AX$16="Neaktivní",F627,O627)</f>
        <v>0</v>
      </c>
      <c r="Y627" s="44">
        <f>W627-X627</f>
        <v>0</v>
      </c>
      <c r="Z627" s="463">
        <v>0</v>
      </c>
      <c r="AA627" s="44">
        <f>IF(Provozování!$AX$16="Neaktivní",H627,Q627)</f>
        <v>0</v>
      </c>
      <c r="AB627" s="30">
        <f>Z627-AA627</f>
        <v>0</v>
      </c>
      <c r="AC627" s="146"/>
      <c r="AK627" s="146"/>
      <c r="AL627" s="146"/>
      <c r="AM627" s="146"/>
      <c r="AN627" s="146"/>
    </row>
    <row r="628" spans="2:40" x14ac:dyDescent="0.25">
      <c r="B628" s="12" t="s">
        <v>15</v>
      </c>
      <c r="C628" s="13" t="s">
        <v>16</v>
      </c>
      <c r="D628" s="3" t="s">
        <v>10</v>
      </c>
      <c r="E628" s="30">
        <v>0</v>
      </c>
      <c r="F628" s="457">
        <f>IF(YEAR(Postup!$H$25)&gt;$D$612,Provozování!AX25,IF(AND(DAY(Postup!$H$25)=31,MONTH(Postup!$H$25)=12,YEAR(Postup!$H$25)=$D$612),Provozování!AX25,IF(YEAR(Postup!$H$25)=$D$612,Provozování!$BL25,0)))</f>
        <v>0</v>
      </c>
      <c r="G628" s="30">
        <v>0</v>
      </c>
      <c r="H628" s="457">
        <f>IF(YEAR(Postup!$H$25)&gt;$D$612,Provozování!AY25,IF(AND(DAY(Postup!$H$25)=31,MONTH(Postup!$H$25)=12,YEAR(Postup!$H$25)=$D$612),Provozování!AY25,IF(YEAR(Postup!$H$25)=$D$612,Provozování!$BM25,0)))</f>
        <v>0</v>
      </c>
      <c r="K628" s="12" t="s">
        <v>15</v>
      </c>
      <c r="L628" s="13" t="s">
        <v>16</v>
      </c>
      <c r="M628" s="3" t="s">
        <v>10</v>
      </c>
      <c r="N628" s="30">
        <v>0</v>
      </c>
      <c r="O628" s="457">
        <f>IF(Provozování!$AZ$16="Neaktivní",0,Provozování!AZ25)</f>
        <v>0</v>
      </c>
      <c r="P628" s="30">
        <v>0</v>
      </c>
      <c r="Q628" s="457">
        <f>IF(Provozování!$AZ$16="Neaktivní",0,Provozování!BA25)</f>
        <v>0</v>
      </c>
      <c r="T628" s="12" t="s">
        <v>15</v>
      </c>
      <c r="U628" s="13" t="s">
        <v>16</v>
      </c>
      <c r="V628" s="3" t="s">
        <v>10</v>
      </c>
      <c r="W628" s="464">
        <v>0</v>
      </c>
      <c r="X628" s="44">
        <f>IF(Provozování!$AX$16="Neaktivní",F628,O628)</f>
        <v>0</v>
      </c>
      <c r="Y628" s="44">
        <f>W628-X628</f>
        <v>0</v>
      </c>
      <c r="Z628" s="464">
        <v>0</v>
      </c>
      <c r="AA628" s="44">
        <f>IF(Provozování!$AX$16="Neaktivní",H628,Q628)</f>
        <v>0</v>
      </c>
      <c r="AB628" s="30">
        <f>Z628-AA628</f>
        <v>0</v>
      </c>
      <c r="AC628" s="146"/>
      <c r="AK628" s="146"/>
      <c r="AL628" s="146"/>
      <c r="AM628" s="146"/>
      <c r="AN628" s="146"/>
    </row>
    <row r="629" spans="2:40" x14ac:dyDescent="0.25">
      <c r="B629" s="12" t="s">
        <v>17</v>
      </c>
      <c r="C629" s="13" t="s">
        <v>18</v>
      </c>
      <c r="D629" s="3" t="s">
        <v>10</v>
      </c>
      <c r="E629" s="87">
        <v>0</v>
      </c>
      <c r="F629" s="457">
        <f>IF(YEAR(Postup!$H$25)&gt;$D$612,Provozování!AX26,IF(AND(DAY(Postup!$H$25)=31,MONTH(Postup!$H$25)=12,YEAR(Postup!$H$25)=$D$612),Provozování!AX26,IF(YEAR(Postup!$H$25)=$D$612,Provozování!$BL26,0)))</f>
        <v>0</v>
      </c>
      <c r="G629" s="87">
        <v>0</v>
      </c>
      <c r="H629" s="457">
        <f>IF(YEAR(Postup!$H$25)&gt;$D$612,Provozování!AY26,IF(AND(DAY(Postup!$H$25)=31,MONTH(Postup!$H$25)=12,YEAR(Postup!$H$25)=$D$612),Provozování!AY26,IF(YEAR(Postup!$H$25)=$D$612,Provozování!$BM26,0)))</f>
        <v>0</v>
      </c>
      <c r="K629" s="12" t="s">
        <v>17</v>
      </c>
      <c r="L629" s="13" t="s">
        <v>18</v>
      </c>
      <c r="M629" s="3" t="s">
        <v>10</v>
      </c>
      <c r="N629" s="87">
        <v>0</v>
      </c>
      <c r="O629" s="457">
        <f>IF(Provozování!$AZ$16="Neaktivní",0,Provozování!AZ26)</f>
        <v>0</v>
      </c>
      <c r="P629" s="87">
        <v>0</v>
      </c>
      <c r="Q629" s="457">
        <f>IF(Provozování!$AZ$16="Neaktivní",0,Provozování!BA26)</f>
        <v>0</v>
      </c>
      <c r="T629" s="12" t="s">
        <v>17</v>
      </c>
      <c r="U629" s="13" t="s">
        <v>18</v>
      </c>
      <c r="V629" s="3" t="s">
        <v>10</v>
      </c>
      <c r="W629" s="465">
        <v>0</v>
      </c>
      <c r="X629" s="44">
        <f>IF(Provozování!$AX$16="Neaktivní",F629,O629)</f>
        <v>0</v>
      </c>
      <c r="Y629" s="44">
        <f>W629-X629</f>
        <v>0</v>
      </c>
      <c r="Z629" s="465">
        <v>0</v>
      </c>
      <c r="AA629" s="44">
        <f>IF(Provozování!$AX$16="Neaktivní",H629,Q629)</f>
        <v>0</v>
      </c>
      <c r="AB629" s="30">
        <f>Z629-AA629</f>
        <v>0</v>
      </c>
      <c r="AC629" s="146"/>
      <c r="AK629" s="146"/>
      <c r="AL629" s="146"/>
      <c r="AM629" s="146"/>
      <c r="AN629" s="146"/>
    </row>
    <row r="630" spans="2:40" x14ac:dyDescent="0.25">
      <c r="B630" s="9" t="s">
        <v>19</v>
      </c>
      <c r="C630" s="10" t="s">
        <v>20</v>
      </c>
      <c r="D630" s="11" t="s">
        <v>10</v>
      </c>
      <c r="E630" s="88">
        <f>SUM(E631:E632)</f>
        <v>0</v>
      </c>
      <c r="F630" s="88">
        <f>SUM(F631:F632)</f>
        <v>0</v>
      </c>
      <c r="G630" s="88">
        <f>SUM(G631:G632)</f>
        <v>0</v>
      </c>
      <c r="H630" s="86">
        <f>SUM(H631:H632)</f>
        <v>0</v>
      </c>
      <c r="K630" s="9" t="s">
        <v>19</v>
      </c>
      <c r="L630" s="10" t="s">
        <v>20</v>
      </c>
      <c r="M630" s="11" t="s">
        <v>10</v>
      </c>
      <c r="N630" s="88">
        <f>SUM(N631:N632)</f>
        <v>0</v>
      </c>
      <c r="O630" s="88">
        <f>SUM(O631:O632)</f>
        <v>0</v>
      </c>
      <c r="P630" s="88">
        <f>SUM(P631:P632)</f>
        <v>0</v>
      </c>
      <c r="Q630" s="86">
        <f>SUM(Q631:Q632)</f>
        <v>0</v>
      </c>
      <c r="T630" s="9" t="s">
        <v>19</v>
      </c>
      <c r="U630" s="10" t="s">
        <v>20</v>
      </c>
      <c r="V630" s="11" t="s">
        <v>10</v>
      </c>
      <c r="W630" s="86">
        <f t="shared" ref="W630:AB630" si="67">SUM(W631:W632)</f>
        <v>0</v>
      </c>
      <c r="X630" s="86">
        <f t="shared" si="67"/>
        <v>0</v>
      </c>
      <c r="Y630" s="86">
        <f t="shared" si="67"/>
        <v>0</v>
      </c>
      <c r="Z630" s="86">
        <f t="shared" si="67"/>
        <v>0</v>
      </c>
      <c r="AA630" s="86">
        <f t="shared" si="67"/>
        <v>0</v>
      </c>
      <c r="AB630" s="86">
        <f t="shared" si="67"/>
        <v>0</v>
      </c>
      <c r="AC630" s="146"/>
      <c r="AK630" s="146"/>
      <c r="AL630" s="146"/>
      <c r="AM630" s="146"/>
      <c r="AN630" s="146"/>
    </row>
    <row r="631" spans="2:40" x14ac:dyDescent="0.25">
      <c r="B631" s="12" t="s">
        <v>21</v>
      </c>
      <c r="C631" s="12" t="s">
        <v>22</v>
      </c>
      <c r="D631" s="3" t="s">
        <v>10</v>
      </c>
      <c r="E631" s="30">
        <v>0</v>
      </c>
      <c r="F631" s="457">
        <f>IF(YEAR(Postup!$H$25)&gt;$D$612,Provozování!AX28,IF(AND(DAY(Postup!$H$25)=31,MONTH(Postup!$H$25)=12,YEAR(Postup!$H$25)=$D$612),Provozování!AX28,IF(YEAR(Postup!$H$25)=$D$612,Provozování!$BL28,0)))</f>
        <v>0</v>
      </c>
      <c r="G631" s="30">
        <v>0</v>
      </c>
      <c r="H631" s="457">
        <f>IF(YEAR(Postup!$H$25)&gt;$D$612,Provozování!AY28,IF(AND(DAY(Postup!$H$25)=31,MONTH(Postup!$H$25)=12,YEAR(Postup!$H$25)=$D$612),Provozování!AY28,IF(YEAR(Postup!$H$25)=$D$612,Provozování!$BM28,0)))</f>
        <v>0</v>
      </c>
      <c r="K631" s="12" t="s">
        <v>21</v>
      </c>
      <c r="L631" s="12" t="s">
        <v>22</v>
      </c>
      <c r="M631" s="3" t="s">
        <v>10</v>
      </c>
      <c r="N631" s="30">
        <v>0</v>
      </c>
      <c r="O631" s="457">
        <f>IF(Provozování!$AZ$16="Neaktivní",0,Provozování!AZ28)</f>
        <v>0</v>
      </c>
      <c r="P631" s="30">
        <v>0</v>
      </c>
      <c r="Q631" s="457">
        <f>IF(Provozování!$AZ$16="Neaktivní",0,Provozování!BA28)</f>
        <v>0</v>
      </c>
      <c r="T631" s="12" t="s">
        <v>21</v>
      </c>
      <c r="U631" s="12" t="s">
        <v>22</v>
      </c>
      <c r="V631" s="3" t="s">
        <v>10</v>
      </c>
      <c r="W631" s="462">
        <v>0</v>
      </c>
      <c r="X631" s="44">
        <f>IF(Provozování!$AX$16="Neaktivní",F631,O631)</f>
        <v>0</v>
      </c>
      <c r="Y631" s="44">
        <f>W631-X631</f>
        <v>0</v>
      </c>
      <c r="Z631" s="464">
        <v>0</v>
      </c>
      <c r="AA631" s="44">
        <f>IF(Provozování!$AX$16="Neaktivní",H631,Q631)</f>
        <v>0</v>
      </c>
      <c r="AB631" s="30">
        <f>Z631-AA631</f>
        <v>0</v>
      </c>
      <c r="AC631" s="146"/>
      <c r="AK631" s="146"/>
      <c r="AL631" s="146"/>
      <c r="AM631" s="146"/>
      <c r="AN631" s="146"/>
    </row>
    <row r="632" spans="2:40" x14ac:dyDescent="0.25">
      <c r="B632" s="12" t="s">
        <v>23</v>
      </c>
      <c r="C632" s="12" t="s">
        <v>24</v>
      </c>
      <c r="D632" s="3" t="s">
        <v>10</v>
      </c>
      <c r="E632" s="87">
        <v>0</v>
      </c>
      <c r="F632" s="457">
        <f>IF(YEAR(Postup!$H$25)&gt;$D$612,Provozování!AX29,IF(AND(DAY(Postup!$H$25)=31,MONTH(Postup!$H$25)=12,YEAR(Postup!$H$25)=$D$612),Provozování!AX29,IF(YEAR(Postup!$H$25)=$D$612,Provozování!$BL29,0)))</f>
        <v>0</v>
      </c>
      <c r="G632" s="87">
        <v>0</v>
      </c>
      <c r="H632" s="457">
        <f>IF(YEAR(Postup!$H$25)&gt;$D$612,Provozování!AY29,IF(AND(DAY(Postup!$H$25)=31,MONTH(Postup!$H$25)=12,YEAR(Postup!$H$25)=$D$612),Provozování!AY29,IF(YEAR(Postup!$H$25)=$D$612,Provozování!$BM29,0)))</f>
        <v>0</v>
      </c>
      <c r="K632" s="12" t="s">
        <v>23</v>
      </c>
      <c r="L632" s="12" t="s">
        <v>24</v>
      </c>
      <c r="M632" s="3" t="s">
        <v>10</v>
      </c>
      <c r="N632" s="87">
        <v>0</v>
      </c>
      <c r="O632" s="457">
        <f>IF(Provozování!$AZ$16="Neaktivní",0,Provozování!AZ29)</f>
        <v>0</v>
      </c>
      <c r="P632" s="87">
        <v>0</v>
      </c>
      <c r="Q632" s="457">
        <f>IF(Provozování!$AZ$16="Neaktivní",0,Provozování!BA29)</f>
        <v>0</v>
      </c>
      <c r="T632" s="12" t="s">
        <v>23</v>
      </c>
      <c r="U632" s="12" t="s">
        <v>24</v>
      </c>
      <c r="V632" s="3" t="s">
        <v>10</v>
      </c>
      <c r="W632" s="463">
        <v>0</v>
      </c>
      <c r="X632" s="44">
        <f>IF(Provozování!$AX$16="Neaktivní",F632,O632)</f>
        <v>0</v>
      </c>
      <c r="Y632" s="44">
        <f>W632-X632</f>
        <v>0</v>
      </c>
      <c r="Z632" s="465">
        <v>0</v>
      </c>
      <c r="AA632" s="44">
        <f>IF(Provozování!$AX$16="Neaktivní",H632,Q632)</f>
        <v>0</v>
      </c>
      <c r="AB632" s="30">
        <f>Z632-AA632</f>
        <v>0</v>
      </c>
      <c r="AC632" s="146"/>
      <c r="AK632" s="146"/>
      <c r="AL632" s="146"/>
      <c r="AM632" s="146"/>
      <c r="AN632" s="146"/>
    </row>
    <row r="633" spans="2:40" x14ac:dyDescent="0.25">
      <c r="B633" s="9" t="s">
        <v>25</v>
      </c>
      <c r="C633" s="10" t="s">
        <v>400</v>
      </c>
      <c r="D633" s="11" t="s">
        <v>10</v>
      </c>
      <c r="E633" s="41">
        <f>SUM(E634:E635)</f>
        <v>0</v>
      </c>
      <c r="F633" s="41">
        <f>SUM(F634:F635)</f>
        <v>0</v>
      </c>
      <c r="G633" s="41">
        <f>SUM(G634:G635)</f>
        <v>0</v>
      </c>
      <c r="H633" s="86">
        <f>SUM(H634:H635)</f>
        <v>0</v>
      </c>
      <c r="K633" s="9" t="s">
        <v>25</v>
      </c>
      <c r="L633" s="10" t="s">
        <v>400</v>
      </c>
      <c r="M633" s="11" t="s">
        <v>10</v>
      </c>
      <c r="N633" s="41">
        <f>SUM(N634:N635)</f>
        <v>0</v>
      </c>
      <c r="O633" s="41">
        <f>SUM(O634:O635)</f>
        <v>0</v>
      </c>
      <c r="P633" s="41">
        <f>SUM(P634:P635)</f>
        <v>0</v>
      </c>
      <c r="Q633" s="86">
        <f>SUM(Q634:Q635)</f>
        <v>0</v>
      </c>
      <c r="T633" s="9" t="s">
        <v>25</v>
      </c>
      <c r="U633" s="10" t="s">
        <v>400</v>
      </c>
      <c r="V633" s="11" t="s">
        <v>10</v>
      </c>
      <c r="W633" s="86">
        <f t="shared" ref="W633:AB633" si="68">SUM(W634:W635)</f>
        <v>0</v>
      </c>
      <c r="X633" s="86">
        <f t="shared" si="68"/>
        <v>0</v>
      </c>
      <c r="Y633" s="86">
        <f t="shared" si="68"/>
        <v>0</v>
      </c>
      <c r="Z633" s="86">
        <f t="shared" si="68"/>
        <v>0</v>
      </c>
      <c r="AA633" s="86">
        <f t="shared" si="68"/>
        <v>0</v>
      </c>
      <c r="AB633" s="86">
        <f t="shared" si="68"/>
        <v>0</v>
      </c>
      <c r="AC633" s="146"/>
      <c r="AD633" s="146"/>
      <c r="AK633" s="146"/>
      <c r="AL633" s="146"/>
      <c r="AM633" s="146"/>
      <c r="AN633" s="146"/>
    </row>
    <row r="634" spans="2:40" x14ac:dyDescent="0.25">
      <c r="B634" s="12" t="s">
        <v>26</v>
      </c>
      <c r="C634" s="13" t="s">
        <v>390</v>
      </c>
      <c r="D634" s="3" t="s">
        <v>10</v>
      </c>
      <c r="E634" s="44">
        <v>0</v>
      </c>
      <c r="F634" s="457">
        <f>IF(YEAR(Postup!$H$25)&gt;$D$612,Provozování!AX31,IF(AND(DAY(Postup!$H$25)=31,MONTH(Postup!$H$25)=12,YEAR(Postup!$H$25)=$D$612),Provozování!AX31,IF(YEAR(Postup!$H$25)=$D$612,Provozování!$BL31,0)))</f>
        <v>0</v>
      </c>
      <c r="G634" s="44">
        <v>0</v>
      </c>
      <c r="H634" s="457">
        <f>IF(YEAR(Postup!$H$25)&gt;$D$612,Provozování!AY31,IF(AND(DAY(Postup!$H$25)=31,MONTH(Postup!$H$25)=12,YEAR(Postup!$H$25)=$D$612),Provozování!AY31,IF(YEAR(Postup!$H$25)=$D$612,Provozování!$BM31,0)))</f>
        <v>0</v>
      </c>
      <c r="K634" s="12" t="s">
        <v>26</v>
      </c>
      <c r="L634" s="13" t="s">
        <v>390</v>
      </c>
      <c r="M634" s="3" t="s">
        <v>10</v>
      </c>
      <c r="N634" s="44">
        <v>0</v>
      </c>
      <c r="O634" s="457">
        <f>IF(Provozování!$AZ$16="Neaktivní",0,Provozování!AZ31)</f>
        <v>0</v>
      </c>
      <c r="P634" s="44">
        <v>0</v>
      </c>
      <c r="Q634" s="457">
        <f>IF(Provozování!$AZ$16="Neaktivní",0,Provozování!BA31)</f>
        <v>0</v>
      </c>
      <c r="T634" s="12" t="s">
        <v>26</v>
      </c>
      <c r="U634" s="13" t="s">
        <v>390</v>
      </c>
      <c r="V634" s="3" t="s">
        <v>10</v>
      </c>
      <c r="W634" s="462">
        <v>0</v>
      </c>
      <c r="X634" s="44">
        <f>IF(Provozování!$AX$16="Neaktivní",F634,O634)</f>
        <v>0</v>
      </c>
      <c r="Y634" s="44">
        <f>W634-X634</f>
        <v>0</v>
      </c>
      <c r="Z634" s="462">
        <v>0</v>
      </c>
      <c r="AA634" s="44">
        <f>IF(Provozování!$AX$16="Neaktivní",H634,Q634)</f>
        <v>0</v>
      </c>
      <c r="AB634" s="30">
        <f>Z634-AA634</f>
        <v>0</v>
      </c>
      <c r="AC634" s="146"/>
      <c r="AD634" s="146"/>
      <c r="AK634" s="146"/>
      <c r="AL634" s="146"/>
      <c r="AM634" s="146"/>
      <c r="AN634" s="146"/>
    </row>
    <row r="635" spans="2:40" x14ac:dyDescent="0.25">
      <c r="B635" s="12" t="s">
        <v>27</v>
      </c>
      <c r="C635" s="13" t="s">
        <v>401</v>
      </c>
      <c r="D635" s="3" t="s">
        <v>10</v>
      </c>
      <c r="E635" s="44">
        <v>0</v>
      </c>
      <c r="F635" s="457">
        <f>IF(YEAR(Postup!$H$25)&gt;$D$612,Provozování!AX32,IF(AND(DAY(Postup!$H$25)=31,MONTH(Postup!$H$25)=12,YEAR(Postup!$H$25)=$D$612),Provozování!AX32,IF(YEAR(Postup!$H$25)=$D$612,Provozování!$BL32,0)))</f>
        <v>0</v>
      </c>
      <c r="G635" s="44">
        <v>0</v>
      </c>
      <c r="H635" s="457">
        <f>IF(YEAR(Postup!$H$25)&gt;$D$612,Provozování!AY32,IF(AND(DAY(Postup!$H$25)=31,MONTH(Postup!$H$25)=12,YEAR(Postup!$H$25)=$D$612),Provozování!AY32,IF(YEAR(Postup!$H$25)=$D$612,Provozování!$BM32,0)))</f>
        <v>0</v>
      </c>
      <c r="K635" s="12" t="s">
        <v>27</v>
      </c>
      <c r="L635" s="13" t="s">
        <v>401</v>
      </c>
      <c r="M635" s="3" t="s">
        <v>10</v>
      </c>
      <c r="N635" s="44">
        <v>0</v>
      </c>
      <c r="O635" s="457">
        <f>IF(Provozování!$AZ$16="Neaktivní",0,Provozování!AZ32)</f>
        <v>0</v>
      </c>
      <c r="P635" s="44">
        <v>0</v>
      </c>
      <c r="Q635" s="457">
        <f>IF(Provozování!$AZ$16="Neaktivní",0,Provozování!BA32)</f>
        <v>0</v>
      </c>
      <c r="T635" s="12" t="s">
        <v>27</v>
      </c>
      <c r="U635" s="13" t="s">
        <v>401</v>
      </c>
      <c r="V635" s="3" t="s">
        <v>10</v>
      </c>
      <c r="W635" s="462">
        <v>0</v>
      </c>
      <c r="X635" s="44">
        <f>IF(Provozování!$AX$16="Neaktivní",F635,O635)</f>
        <v>0</v>
      </c>
      <c r="Y635" s="44">
        <f>W635-X635</f>
        <v>0</v>
      </c>
      <c r="Z635" s="462">
        <v>0</v>
      </c>
      <c r="AA635" s="44">
        <f>IF(Provozování!$AX$16="Neaktivní",H635,Q635)</f>
        <v>0</v>
      </c>
      <c r="AB635" s="30">
        <f>Z635-AA635</f>
        <v>0</v>
      </c>
      <c r="AC635" s="146"/>
      <c r="AD635" s="146"/>
      <c r="AK635" s="146"/>
      <c r="AL635" s="146"/>
      <c r="AM635" s="146"/>
      <c r="AN635" s="146"/>
    </row>
    <row r="636" spans="2:40" x14ac:dyDescent="0.25">
      <c r="B636" s="9" t="s">
        <v>28</v>
      </c>
      <c r="C636" s="10" t="s">
        <v>29</v>
      </c>
      <c r="D636" s="11" t="s">
        <v>10</v>
      </c>
      <c r="E636" s="41">
        <f>SUM(E637:E640)</f>
        <v>0</v>
      </c>
      <c r="F636" s="41">
        <f>SUM(F637:F640)</f>
        <v>0</v>
      </c>
      <c r="G636" s="41">
        <f>SUM(G637:G640)</f>
        <v>0</v>
      </c>
      <c r="H636" s="86">
        <f>SUM(H637:H640)</f>
        <v>0</v>
      </c>
      <c r="K636" s="9" t="s">
        <v>28</v>
      </c>
      <c r="L636" s="10" t="s">
        <v>29</v>
      </c>
      <c r="M636" s="11" t="s">
        <v>10</v>
      </c>
      <c r="N636" s="41">
        <f>SUM(N637:N640)</f>
        <v>0</v>
      </c>
      <c r="O636" s="41">
        <f>SUM(O637:O640)</f>
        <v>0</v>
      </c>
      <c r="P636" s="41">
        <f>SUM(P637:P640)</f>
        <v>0</v>
      </c>
      <c r="Q636" s="86">
        <f>SUM(Q637:Q640)</f>
        <v>0</v>
      </c>
      <c r="T636" s="9" t="s">
        <v>28</v>
      </c>
      <c r="U636" s="10" t="s">
        <v>29</v>
      </c>
      <c r="V636" s="11" t="s">
        <v>10</v>
      </c>
      <c r="W636" s="86">
        <f t="shared" ref="W636:AB636" si="69">SUM(W637:W640)</f>
        <v>0</v>
      </c>
      <c r="X636" s="86">
        <f t="shared" si="69"/>
        <v>0</v>
      </c>
      <c r="Y636" s="86">
        <f t="shared" si="69"/>
        <v>0</v>
      </c>
      <c r="Z636" s="86">
        <f t="shared" si="69"/>
        <v>0</v>
      </c>
      <c r="AA636" s="86">
        <f t="shared" si="69"/>
        <v>0</v>
      </c>
      <c r="AB636" s="86">
        <f t="shared" si="69"/>
        <v>0</v>
      </c>
      <c r="AC636" s="146"/>
      <c r="AD636" s="146"/>
      <c r="AK636" s="146"/>
      <c r="AL636" s="146"/>
      <c r="AM636" s="146"/>
      <c r="AN636" s="146"/>
    </row>
    <row r="637" spans="2:40" x14ac:dyDescent="0.25">
      <c r="B637" s="12" t="s">
        <v>30</v>
      </c>
      <c r="C637" s="12" t="s">
        <v>381</v>
      </c>
      <c r="D637" s="3" t="s">
        <v>10</v>
      </c>
      <c r="E637" s="44">
        <v>0</v>
      </c>
      <c r="F637" s="336">
        <f>IF(YEAR(Postup!$H$25)&gt;$D$612,Provozování!AX34,IF(AND(DAY(Postup!$H$25)=31,MONTH(Postup!$H$25)=12,YEAR(Postup!$H$25)=$D$612),Provozování!AX34,IF(YEAR(Postup!$H$25)=$D$612,Provozování!$BL34,0)))</f>
        <v>0</v>
      </c>
      <c r="G637" s="44">
        <v>0</v>
      </c>
      <c r="H637" s="335">
        <f>IF(YEAR(Postup!$H$25)&gt;$D$612,Provozování!AY34,IF(AND(DAY(Postup!$H$25)=31,MONTH(Postup!$H$25)=12,YEAR(Postup!$H$25)=$D$612),Provozování!AY34,IF(YEAR(Postup!$H$25)=$D$612,Provozování!$BM34,0)))</f>
        <v>0</v>
      </c>
      <c r="K637" s="12" t="s">
        <v>30</v>
      </c>
      <c r="L637" s="12" t="s">
        <v>381</v>
      </c>
      <c r="M637" s="3" t="s">
        <v>10</v>
      </c>
      <c r="N637" s="44">
        <v>0</v>
      </c>
      <c r="O637" s="640">
        <f>IF(Provozování!$AZ$16="Neaktivní",0,Provozování!AZ34)</f>
        <v>0</v>
      </c>
      <c r="P637" s="44">
        <v>0</v>
      </c>
      <c r="Q637" s="772">
        <f>IF(Provozování!$AZ$16="Neaktivní",0,Provozování!BA34)</f>
        <v>0</v>
      </c>
      <c r="T637" s="12" t="s">
        <v>30</v>
      </c>
      <c r="U637" s="12" t="s">
        <v>381</v>
      </c>
      <c r="V637" s="3" t="s">
        <v>10</v>
      </c>
      <c r="W637" s="462">
        <v>0</v>
      </c>
      <c r="X637" s="44">
        <f>IF(Provozování!$AX$16="Neaktivní",F637,O637)</f>
        <v>0</v>
      </c>
      <c r="Y637" s="44">
        <f>W637-X637</f>
        <v>0</v>
      </c>
      <c r="Z637" s="462">
        <v>0</v>
      </c>
      <c r="AA637" s="44">
        <f>IF(Provozování!$AX$16="Neaktivní",H637,Q637)</f>
        <v>0</v>
      </c>
      <c r="AB637" s="30">
        <f>Z637-AA637</f>
        <v>0</v>
      </c>
      <c r="AC637" s="146"/>
      <c r="AD637" s="146"/>
      <c r="AK637" s="146"/>
      <c r="AL637" s="146"/>
      <c r="AM637" s="146"/>
      <c r="AN637" s="146"/>
    </row>
    <row r="638" spans="2:40" x14ac:dyDescent="0.25">
      <c r="B638" s="12" t="s">
        <v>32</v>
      </c>
      <c r="C638" s="12" t="s">
        <v>383</v>
      </c>
      <c r="D638" s="3" t="s">
        <v>10</v>
      </c>
      <c r="E638" s="44">
        <v>0</v>
      </c>
      <c r="F638" s="662">
        <f>IF(YEAR(Postup!$H$25)&gt;$D$612,Provozování!AX35,IF(AND(DAY(Postup!$H$25)=31,MONTH(Postup!$H$25)=12,YEAR(Postup!$H$25)=$D$612),Provozování!AX35,IF(YEAR(Postup!$H$25)=$D$612,Provozování!$BL35,0)))</f>
        <v>0</v>
      </c>
      <c r="G638" s="44">
        <v>0</v>
      </c>
      <c r="H638" s="663">
        <f>IF(YEAR(Postup!$H$25)&gt;$D$612,Provozování!AY35,IF(AND(DAY(Postup!$H$25)=31,MONTH(Postup!$H$25)=12,YEAR(Postup!$H$25)=$D$612),Provozování!AY35,IF(YEAR(Postup!$H$25)=$D$612,Provozování!$BM35,0)))</f>
        <v>0</v>
      </c>
      <c r="K638" s="12" t="s">
        <v>32</v>
      </c>
      <c r="L638" s="12" t="s">
        <v>383</v>
      </c>
      <c r="M638" s="3" t="s">
        <v>10</v>
      </c>
      <c r="N638" s="44">
        <v>0</v>
      </c>
      <c r="O638" s="666">
        <f>IF(Provozování!$AZ$16="Neaktivní",0,Provozování!AZ35)</f>
        <v>0</v>
      </c>
      <c r="P638" s="44">
        <v>0</v>
      </c>
      <c r="Q638" s="669">
        <f>IF(Provozování!$AZ$16="Neaktivní",0,Provozování!BA35)</f>
        <v>0</v>
      </c>
      <c r="T638" s="12" t="s">
        <v>32</v>
      </c>
      <c r="U638" s="12" t="s">
        <v>383</v>
      </c>
      <c r="V638" s="3" t="s">
        <v>10</v>
      </c>
      <c r="W638" s="640">
        <f>IF(Provozování!$AZ$16="Aktivní",O638,F638)</f>
        <v>0</v>
      </c>
      <c r="X638" s="44">
        <f>IF(Provozování!$AX$16="Neaktivní",F638,O638)</f>
        <v>0</v>
      </c>
      <c r="Y638" s="44">
        <f>W638-X638</f>
        <v>0</v>
      </c>
      <c r="Z638" s="640">
        <f>IF(Provozování!$AZ$16="Aktivní",Q638,H638)</f>
        <v>0</v>
      </c>
      <c r="AA638" s="44">
        <f>IF(Provozování!$AX$16="Neaktivní",H638,Q638)</f>
        <v>0</v>
      </c>
      <c r="AB638" s="30">
        <f>Z638-AA638</f>
        <v>0</v>
      </c>
      <c r="AC638" s="146"/>
      <c r="AD638" s="146"/>
      <c r="AK638" s="146"/>
      <c r="AL638" s="146"/>
      <c r="AM638" s="146"/>
      <c r="AN638" s="146"/>
    </row>
    <row r="639" spans="2:40" x14ac:dyDescent="0.25">
      <c r="B639" s="12" t="s">
        <v>33</v>
      </c>
      <c r="C639" s="12" t="s">
        <v>382</v>
      </c>
      <c r="D639" s="3" t="s">
        <v>10</v>
      </c>
      <c r="E639" s="44">
        <v>0</v>
      </c>
      <c r="F639" s="637">
        <f>IF(YEAR(Postup!$H$25)&gt;$D$612,Provozování!AX36,IF(AND(DAY(Postup!$H$25)=31,MONTH(Postup!$H$25)=12,YEAR(Postup!$H$25)=$D$612),Provozování!AX36,IF(YEAR(Postup!$H$25)=$D$612,Provozování!$BL36,0)))</f>
        <v>0</v>
      </c>
      <c r="G639" s="44">
        <v>0</v>
      </c>
      <c r="H639" s="636">
        <f>IF(YEAR(Postup!$H$25)&gt;$D$612,Provozování!AY36,IF(AND(DAY(Postup!$H$25)=31,MONTH(Postup!$H$25)=12,YEAR(Postup!$H$25)=$D$612),Provozování!AY36,IF(YEAR(Postup!$H$25)=$D$612,Provozování!$BM36,0)))</f>
        <v>0</v>
      </c>
      <c r="K639" s="12" t="s">
        <v>33</v>
      </c>
      <c r="L639" s="12" t="s">
        <v>382</v>
      </c>
      <c r="M639" s="3" t="s">
        <v>10</v>
      </c>
      <c r="N639" s="44">
        <v>0</v>
      </c>
      <c r="O639" s="640">
        <f>IF(Provozování!$AZ$16="Neaktivní",0,Provozování!AZ36)</f>
        <v>0</v>
      </c>
      <c r="P639" s="44">
        <v>0</v>
      </c>
      <c r="Q639" s="772">
        <f>IF(Provozování!$AZ$16="Neaktivní",0,Provozování!BA36)</f>
        <v>0</v>
      </c>
      <c r="T639" s="12" t="s">
        <v>33</v>
      </c>
      <c r="U639" s="12" t="s">
        <v>382</v>
      </c>
      <c r="V639" s="3" t="s">
        <v>10</v>
      </c>
      <c r="W639" s="462">
        <v>0</v>
      </c>
      <c r="X639" s="44">
        <f>IF(Provozování!$AX$16="Neaktivní",F639,O639)</f>
        <v>0</v>
      </c>
      <c r="Y639" s="44">
        <f>W639-X639</f>
        <v>0</v>
      </c>
      <c r="Z639" s="462">
        <v>0</v>
      </c>
      <c r="AA639" s="44">
        <f>IF(Provozování!$AX$16="Neaktivní",H639,Q639)</f>
        <v>0</v>
      </c>
      <c r="AB639" s="30">
        <f>Z639-AA639</f>
        <v>0</v>
      </c>
      <c r="AC639" s="146"/>
      <c r="AD639" s="146"/>
      <c r="AK639" s="146"/>
      <c r="AL639" s="146"/>
      <c r="AM639" s="146"/>
      <c r="AN639" s="146"/>
    </row>
    <row r="640" spans="2:40" x14ac:dyDescent="0.25">
      <c r="B640" s="12" t="s">
        <v>34</v>
      </c>
      <c r="C640" s="497" t="s">
        <v>384</v>
      </c>
      <c r="D640" s="3" t="s">
        <v>10</v>
      </c>
      <c r="E640" s="44">
        <v>0</v>
      </c>
      <c r="F640" s="666">
        <f>IF(YEAR(Postup!$H$25)&gt;$D$612,Provozování!AX37,IF(AND(DAY(Postup!$H$25)=31,MONTH(Postup!$H$25)=12,YEAR(Postup!$H$25)=$D$612),Provozování!AX37,IF(YEAR(Postup!$H$25)=$D$612,Provozování!$BL37,0)))</f>
        <v>0</v>
      </c>
      <c r="G640" s="44">
        <v>0</v>
      </c>
      <c r="H640" s="667">
        <f>IF(YEAR(Postup!$H$25)&gt;$D$612,Provozování!AY37,IF(AND(DAY(Postup!$H$25)=31,MONTH(Postup!$H$25)=12,YEAR(Postup!$H$25)=$D$612),Provozování!AY37,IF(YEAR(Postup!$H$25)=$D$612,Provozování!$BM37,0)))</f>
        <v>0</v>
      </c>
      <c r="K640" s="12" t="s">
        <v>34</v>
      </c>
      <c r="L640" s="497" t="s">
        <v>384</v>
      </c>
      <c r="M640" s="3" t="s">
        <v>10</v>
      </c>
      <c r="N640" s="44">
        <v>0</v>
      </c>
      <c r="O640" s="666">
        <f>IF(Provozování!$AZ$16="Neaktivní",0,Provozování!AZ37)</f>
        <v>0</v>
      </c>
      <c r="P640" s="44">
        <v>0</v>
      </c>
      <c r="Q640" s="667">
        <f>IF(Provozování!$AZ$16="Neaktivní",0,Provozování!BA37)</f>
        <v>0</v>
      </c>
      <c r="T640" s="12" t="s">
        <v>34</v>
      </c>
      <c r="U640" s="497" t="s">
        <v>384</v>
      </c>
      <c r="V640" s="3" t="s">
        <v>10</v>
      </c>
      <c r="W640" s="637">
        <f>IF(Provozování!$AZ$16="Aktivní",O640,F640)</f>
        <v>0</v>
      </c>
      <c r="X640" s="337">
        <f>IF(Provozování!$AX$16="Neaktivní",F640,O640)</f>
        <v>0</v>
      </c>
      <c r="Y640" s="337">
        <f>W640-X640</f>
        <v>0</v>
      </c>
      <c r="Z640" s="637">
        <f>IF(Provozování!$AZ$16="Aktivní",Q640,H640)</f>
        <v>0</v>
      </c>
      <c r="AA640" s="337">
        <f>IF(Provozování!$AX$16="Neaktivní",H640,Q640)</f>
        <v>0</v>
      </c>
      <c r="AB640" s="334">
        <f>Z640-AA640</f>
        <v>0</v>
      </c>
      <c r="AC640" s="146"/>
      <c r="AD640" s="146"/>
      <c r="AE640" s="1073" t="s">
        <v>291</v>
      </c>
      <c r="AF640" s="1074"/>
      <c r="AG640" s="339">
        <f>Y622</f>
        <v>2032</v>
      </c>
      <c r="AH640" s="339">
        <f>AG640</f>
        <v>2032</v>
      </c>
      <c r="AK640" s="146"/>
      <c r="AL640" s="146"/>
      <c r="AM640" s="146"/>
      <c r="AN640" s="146"/>
    </row>
    <row r="641" spans="2:40" x14ac:dyDescent="0.25">
      <c r="B641" s="9" t="s">
        <v>35</v>
      </c>
      <c r="C641" s="10" t="s">
        <v>387</v>
      </c>
      <c r="D641" s="11" t="s">
        <v>10</v>
      </c>
      <c r="E641" s="41">
        <f>SUM(E642:E644)</f>
        <v>0</v>
      </c>
      <c r="F641" s="41">
        <f>SUM(F642:F644)</f>
        <v>0</v>
      </c>
      <c r="G641" s="41">
        <f>SUM(G642:G644)</f>
        <v>0</v>
      </c>
      <c r="H641" s="86">
        <f>SUM(H642:H644)</f>
        <v>0</v>
      </c>
      <c r="K641" s="9" t="s">
        <v>35</v>
      </c>
      <c r="L641" s="10" t="s">
        <v>387</v>
      </c>
      <c r="M641" s="11" t="s">
        <v>10</v>
      </c>
      <c r="N641" s="41">
        <f>SUM(N642:N644)</f>
        <v>0</v>
      </c>
      <c r="O641" s="41">
        <f>SUM(O642:O644)</f>
        <v>0</v>
      </c>
      <c r="P641" s="41">
        <f>SUM(P642:P644)</f>
        <v>0</v>
      </c>
      <c r="Q641" s="86">
        <f>SUM(Q642:Q644)</f>
        <v>0</v>
      </c>
      <c r="T641" s="9" t="s">
        <v>35</v>
      </c>
      <c r="U641" s="10" t="s">
        <v>387</v>
      </c>
      <c r="V641" s="11" t="s">
        <v>10</v>
      </c>
      <c r="W641" s="86">
        <f t="shared" ref="W641:AB641" si="70">SUM(W642:W644)</f>
        <v>0</v>
      </c>
      <c r="X641" s="86">
        <f t="shared" si="70"/>
        <v>0</v>
      </c>
      <c r="Y641" s="86">
        <f t="shared" si="70"/>
        <v>0</v>
      </c>
      <c r="Z641" s="86">
        <f t="shared" si="70"/>
        <v>0</v>
      </c>
      <c r="AA641" s="86">
        <f t="shared" si="70"/>
        <v>0</v>
      </c>
      <c r="AB641" s="86">
        <f t="shared" si="70"/>
        <v>0</v>
      </c>
      <c r="AC641" s="146"/>
      <c r="AD641" s="146"/>
      <c r="AE641" s="1075"/>
      <c r="AF641" s="1076"/>
      <c r="AG641" s="1072" t="s">
        <v>238</v>
      </c>
      <c r="AH641" s="1072" t="s">
        <v>239</v>
      </c>
      <c r="AK641" s="146"/>
      <c r="AL641" s="146"/>
      <c r="AM641" s="146"/>
      <c r="AN641" s="146"/>
    </row>
    <row r="642" spans="2:40" x14ac:dyDescent="0.25">
      <c r="B642" s="12" t="s">
        <v>37</v>
      </c>
      <c r="C642" s="13" t="s">
        <v>38</v>
      </c>
      <c r="D642" s="3" t="s">
        <v>10</v>
      </c>
      <c r="E642" s="44">
        <v>0</v>
      </c>
      <c r="F642" s="337">
        <v>0</v>
      </c>
      <c r="G642" s="44">
        <v>0</v>
      </c>
      <c r="H642" s="30">
        <f>IF(YEAR(Postup!$H$25)&gt;$D$612,Provozování!AY39,IF(AND(DAY(Postup!$H$25)=31,MONTH(Postup!$H$25)=12,YEAR(Postup!$H$25)=$D$612),Provozování!AY39,IF(YEAR(Postup!$H$25)=$D$612,Provozování!$BM39,0)))</f>
        <v>0</v>
      </c>
      <c r="K642" s="12" t="s">
        <v>37</v>
      </c>
      <c r="L642" s="13" t="s">
        <v>38</v>
      </c>
      <c r="M642" s="3" t="s">
        <v>10</v>
      </c>
      <c r="N642" s="44">
        <v>0</v>
      </c>
      <c r="O642" s="337">
        <v>0</v>
      </c>
      <c r="P642" s="44">
        <v>0</v>
      </c>
      <c r="Q642" s="53">
        <f>IF(Provozování!$AZ$16="Neaktivní",0,Provozování!BA39)</f>
        <v>0</v>
      </c>
      <c r="T642" s="12" t="s">
        <v>37</v>
      </c>
      <c r="U642" s="13" t="s">
        <v>38</v>
      </c>
      <c r="V642" s="3" t="s">
        <v>10</v>
      </c>
      <c r="W642" s="337">
        <v>0</v>
      </c>
      <c r="X642" s="337">
        <v>0</v>
      </c>
      <c r="Y642" s="337">
        <v>0</v>
      </c>
      <c r="Z642" s="462">
        <v>0</v>
      </c>
      <c r="AA642" s="44">
        <f>IF(Provozování!$AX$16="Neaktivní",H642,Q642)</f>
        <v>0</v>
      </c>
      <c r="AB642" s="30">
        <f>Z642-AA642</f>
        <v>0</v>
      </c>
      <c r="AC642" s="146"/>
      <c r="AD642" s="146"/>
      <c r="AE642" s="1077"/>
      <c r="AF642" s="1078"/>
      <c r="AG642" s="1000"/>
      <c r="AH642" s="1000"/>
      <c r="AK642" s="146"/>
      <c r="AL642" s="146"/>
      <c r="AM642" s="146"/>
      <c r="AN642" s="146"/>
    </row>
    <row r="643" spans="2:40" x14ac:dyDescent="0.25">
      <c r="B643" s="12" t="s">
        <v>39</v>
      </c>
      <c r="C643" s="12" t="s">
        <v>40</v>
      </c>
      <c r="D643" s="3" t="s">
        <v>10</v>
      </c>
      <c r="E643" s="44">
        <v>0</v>
      </c>
      <c r="F643" s="457">
        <f>IF(YEAR(Postup!$H$25)&gt;$D$612,Provozování!AX40,IF(AND(DAY(Postup!$H$25)=31,MONTH(Postup!$H$25)=12,YEAR(Postup!$H$25)=$D$612),Provozování!AX40,IF(YEAR(Postup!$H$25)=$D$612,Provozování!$BL40,0)))</f>
        <v>0</v>
      </c>
      <c r="G643" s="44">
        <v>0</v>
      </c>
      <c r="H643" s="457">
        <f>IF(YEAR(Postup!$H$25)&gt;$D$612,Provozování!AY40,IF(AND(DAY(Postup!$H$25)=31,MONTH(Postup!$H$25)=12,YEAR(Postup!$H$25)=$D$612),Provozování!AY40,IF(YEAR(Postup!$H$25)=$D$612,Provozování!$BM40,0)))</f>
        <v>0</v>
      </c>
      <c r="K643" s="12" t="s">
        <v>39</v>
      </c>
      <c r="L643" s="12" t="s">
        <v>40</v>
      </c>
      <c r="M643" s="3" t="s">
        <v>10</v>
      </c>
      <c r="N643" s="44">
        <v>0</v>
      </c>
      <c r="O643" s="457">
        <f>IF(Provozování!$AZ$16="Neaktivní",0,Provozování!AZ40)</f>
        <v>0</v>
      </c>
      <c r="P643" s="44">
        <v>0</v>
      </c>
      <c r="Q643" s="457">
        <f>IF(Provozování!$AZ$16="Neaktivní",0,Provozování!BA40)</f>
        <v>0</v>
      </c>
      <c r="T643" s="12" t="s">
        <v>39</v>
      </c>
      <c r="U643" s="12" t="s">
        <v>40</v>
      </c>
      <c r="V643" s="3" t="s">
        <v>10</v>
      </c>
      <c r="W643" s="462">
        <v>0</v>
      </c>
      <c r="X643" s="44">
        <f>IF(Provozování!$AX$16="Neaktivní",F643,O643)</f>
        <v>0</v>
      </c>
      <c r="Y643" s="44">
        <f>W643-X643</f>
        <v>0</v>
      </c>
      <c r="Z643" s="462">
        <v>0</v>
      </c>
      <c r="AA643" s="44">
        <f>IF(Provozování!$AX$16="Neaktivní",H643,Q643)</f>
        <v>0</v>
      </c>
      <c r="AB643" s="30">
        <f>Z643-AA643</f>
        <v>0</v>
      </c>
      <c r="AC643" s="146"/>
      <c r="AD643" s="146"/>
      <c r="AE643" s="12" t="s">
        <v>326</v>
      </c>
      <c r="AF643" s="12" t="s">
        <v>329</v>
      </c>
      <c r="AG643" s="423">
        <f>Z678</f>
        <v>0</v>
      </c>
      <c r="AH643" s="423">
        <f>AB678</f>
        <v>0</v>
      </c>
      <c r="AK643" s="146"/>
      <c r="AL643" s="146"/>
      <c r="AM643" s="146"/>
      <c r="AN643" s="146"/>
    </row>
    <row r="644" spans="2:40" x14ac:dyDescent="0.25">
      <c r="B644" s="12" t="s">
        <v>41</v>
      </c>
      <c r="C644" s="13" t="s">
        <v>42</v>
      </c>
      <c r="D644" s="3" t="s">
        <v>10</v>
      </c>
      <c r="E644" s="44">
        <v>0</v>
      </c>
      <c r="F644" s="457">
        <f>IF(YEAR(Postup!$H$25)&gt;$D$612,Provozování!AX41,IF(AND(DAY(Postup!$H$25)=31,MONTH(Postup!$H$25)=12,YEAR(Postup!$H$25)=$D$612),Provozování!AX41,IF(YEAR(Postup!$H$25)=$D$612,Provozování!$BL41,0)))</f>
        <v>0</v>
      </c>
      <c r="G644" s="44">
        <v>0</v>
      </c>
      <c r="H644" s="457">
        <f>IF(YEAR(Postup!$H$25)&gt;$D$612,Provozování!AY41,IF(AND(DAY(Postup!$H$25)=31,MONTH(Postup!$H$25)=12,YEAR(Postup!$H$25)=$D$612),Provozování!AY41,IF(YEAR(Postup!$H$25)=$D$612,Provozování!$BM41,0)))</f>
        <v>0</v>
      </c>
      <c r="K644" s="12" t="s">
        <v>41</v>
      </c>
      <c r="L644" s="13" t="s">
        <v>42</v>
      </c>
      <c r="M644" s="3" t="s">
        <v>10</v>
      </c>
      <c r="N644" s="44">
        <v>0</v>
      </c>
      <c r="O644" s="457">
        <f>IF(Provozování!$AZ$16="Neaktivní",0,Provozování!AZ41)</f>
        <v>0</v>
      </c>
      <c r="P644" s="44">
        <v>0</v>
      </c>
      <c r="Q644" s="457">
        <f>IF(Provozování!$AZ$16="Neaktivní",0,Provozování!BA41)</f>
        <v>0</v>
      </c>
      <c r="T644" s="12" t="s">
        <v>41</v>
      </c>
      <c r="U644" s="13" t="s">
        <v>42</v>
      </c>
      <c r="V644" s="3" t="s">
        <v>10</v>
      </c>
      <c r="W644" s="462">
        <v>0</v>
      </c>
      <c r="X644" s="44">
        <f>IF(Provozování!$AX$16="Neaktivní",F644,O644)</f>
        <v>0</v>
      </c>
      <c r="Y644" s="44">
        <f>W644-X644</f>
        <v>0</v>
      </c>
      <c r="Z644" s="462">
        <v>0</v>
      </c>
      <c r="AA644" s="44">
        <f>IF(Provozování!$AX$16="Neaktivní",H644,Q644)</f>
        <v>0</v>
      </c>
      <c r="AB644" s="30">
        <f>Z644-AA644</f>
        <v>0</v>
      </c>
      <c r="AC644" s="146"/>
      <c r="AD644" s="146"/>
      <c r="AE644" s="12" t="s">
        <v>327</v>
      </c>
      <c r="AF644" s="13" t="s">
        <v>331</v>
      </c>
      <c r="AG644" s="270">
        <f>Y677</f>
        <v>0</v>
      </c>
      <c r="AH644" s="270">
        <f>AA677</f>
        <v>0</v>
      </c>
      <c r="AK644" s="146"/>
      <c r="AL644" s="146"/>
      <c r="AM644" s="146"/>
      <c r="AN644" s="146"/>
    </row>
    <row r="645" spans="2:40" x14ac:dyDescent="0.25">
      <c r="B645" s="9" t="s">
        <v>43</v>
      </c>
      <c r="C645" s="10" t="s">
        <v>44</v>
      </c>
      <c r="D645" s="11" t="s">
        <v>10</v>
      </c>
      <c r="E645" s="44">
        <v>0</v>
      </c>
      <c r="F645" s="456">
        <f>IF(YEAR(Postup!$H$25)&gt;$D$612,Provozování!AX42,IF(AND(DAY(Postup!$H$25)=31,MONTH(Postup!$H$25)=12,YEAR(Postup!$H$25)=$D$612),Provozování!AX42,IF(YEAR(Postup!$H$25)=$D$612,Provozování!$BL42,0)))</f>
        <v>0</v>
      </c>
      <c r="G645" s="44">
        <v>0</v>
      </c>
      <c r="H645" s="457">
        <f>IF(YEAR(Postup!$H$25)&gt;$D$612,Provozování!AY42,IF(AND(DAY(Postup!$H$25)=31,MONTH(Postup!$H$25)=12,YEAR(Postup!$H$25)=$D$612),Provozování!AY42,IF(YEAR(Postup!$H$25)=$D$612,Provozování!$BM42,0)))</f>
        <v>0</v>
      </c>
      <c r="K645" s="9" t="s">
        <v>43</v>
      </c>
      <c r="L645" s="10" t="s">
        <v>44</v>
      </c>
      <c r="M645" s="11" t="s">
        <v>10</v>
      </c>
      <c r="N645" s="44">
        <v>0</v>
      </c>
      <c r="O645" s="456">
        <f>IF(Provozování!$AZ$16="Neaktivní",0,Provozování!AZ42)</f>
        <v>0</v>
      </c>
      <c r="P645" s="44">
        <v>0</v>
      </c>
      <c r="Q645" s="461">
        <f>IF(Provozování!$AZ$16="Neaktivní",0,Provozování!BA42)</f>
        <v>0</v>
      </c>
      <c r="T645" s="9" t="s">
        <v>43</v>
      </c>
      <c r="U645" s="10" t="s">
        <v>44</v>
      </c>
      <c r="V645" s="11" t="s">
        <v>10</v>
      </c>
      <c r="W645" s="462">
        <v>0</v>
      </c>
      <c r="X645" s="44">
        <f>IF(Provozování!$AX$16="Neaktivní",F645,O645)</f>
        <v>0</v>
      </c>
      <c r="Y645" s="44">
        <f>W645-X645</f>
        <v>0</v>
      </c>
      <c r="Z645" s="462">
        <v>0</v>
      </c>
      <c r="AA645" s="44">
        <f>IF(Provozování!$AX$16="Neaktivní",H645,Q645)</f>
        <v>0</v>
      </c>
      <c r="AB645" s="30">
        <f>Z645-AA645</f>
        <v>0</v>
      </c>
      <c r="AC645" s="146"/>
      <c r="AD645" s="146"/>
      <c r="AE645" s="12" t="s">
        <v>328</v>
      </c>
      <c r="AF645" s="13" t="s">
        <v>330</v>
      </c>
      <c r="AG645" s="270">
        <f>Z677</f>
        <v>0</v>
      </c>
      <c r="AH645" s="270">
        <f>AB677</f>
        <v>0</v>
      </c>
      <c r="AK645" s="146"/>
      <c r="AL645" s="146"/>
      <c r="AM645" s="146"/>
      <c r="AN645" s="146"/>
    </row>
    <row r="646" spans="2:40" x14ac:dyDescent="0.25">
      <c r="B646" s="9" t="s">
        <v>45</v>
      </c>
      <c r="C646" s="10" t="s">
        <v>388</v>
      </c>
      <c r="D646" s="11" t="s">
        <v>10</v>
      </c>
      <c r="E646" s="44">
        <v>0</v>
      </c>
      <c r="F646" s="456">
        <f>IF(YEAR(Postup!$H$25)&gt;$D$612,Provozování!AX43,IF(AND(DAY(Postup!$H$25)=31,MONTH(Postup!$H$25)=12,YEAR(Postup!$H$25)=$D$612),Provozování!AX43,IF(YEAR(Postup!$H$25)=$D$612,Provozování!$BL43,0)))</f>
        <v>0</v>
      </c>
      <c r="G646" s="44">
        <v>0</v>
      </c>
      <c r="H646" s="457">
        <f>IF(YEAR(Postup!$H$25)&gt;$D$612,Provozování!AY43,IF(AND(DAY(Postup!$H$25)=31,MONTH(Postup!$H$25)=12,YEAR(Postup!$H$25)=$D$612),Provozování!AY43,IF(YEAR(Postup!$H$25)=$D$612,Provozování!$BM43,0)))</f>
        <v>0</v>
      </c>
      <c r="K646" s="9" t="s">
        <v>45</v>
      </c>
      <c r="L646" s="10" t="s">
        <v>388</v>
      </c>
      <c r="M646" s="11" t="s">
        <v>10</v>
      </c>
      <c r="N646" s="44">
        <v>0</v>
      </c>
      <c r="O646" s="456">
        <f>IF(Provozování!$AZ$16="Neaktivní",0,Provozování!AZ43)</f>
        <v>0</v>
      </c>
      <c r="P646" s="44">
        <v>0</v>
      </c>
      <c r="Q646" s="461">
        <f>IF(Provozování!$AZ$16="Neaktivní",0,Provozování!BA43)</f>
        <v>0</v>
      </c>
      <c r="T646" s="9" t="s">
        <v>45</v>
      </c>
      <c r="U646" s="10" t="s">
        <v>388</v>
      </c>
      <c r="V646" s="11" t="s">
        <v>10</v>
      </c>
      <c r="W646" s="462">
        <v>0</v>
      </c>
      <c r="X646" s="44">
        <f>IF(Provozování!$AX$16="Neaktivní",F646,O646)</f>
        <v>0</v>
      </c>
      <c r="Y646" s="44">
        <f>ABS(W646)-ABS(X646)</f>
        <v>0</v>
      </c>
      <c r="Z646" s="462">
        <v>0</v>
      </c>
      <c r="AA646" s="44">
        <f>IF(Provozování!$AX$16="Neaktivní",H646,Q646)</f>
        <v>0</v>
      </c>
      <c r="AB646" s="30">
        <f>ABS(Z646)-ABS(AA646)</f>
        <v>0</v>
      </c>
      <c r="AC646" s="146"/>
      <c r="AD646" s="146"/>
      <c r="AE646" s="12" t="s">
        <v>332</v>
      </c>
      <c r="AF646" s="12" t="s">
        <v>340</v>
      </c>
      <c r="AG646" s="270">
        <f>X650-(X638+X640)</f>
        <v>0</v>
      </c>
      <c r="AH646" s="270">
        <f>AA650-(AA638+AA640)</f>
        <v>0</v>
      </c>
      <c r="AK646" s="146"/>
      <c r="AL646" s="146"/>
      <c r="AM646" s="146"/>
      <c r="AN646" s="146"/>
    </row>
    <row r="647" spans="2:40" x14ac:dyDescent="0.25">
      <c r="B647" s="9" t="s">
        <v>46</v>
      </c>
      <c r="C647" s="10" t="s">
        <v>47</v>
      </c>
      <c r="D647" s="11" t="s">
        <v>10</v>
      </c>
      <c r="E647" s="44">
        <v>0</v>
      </c>
      <c r="F647" s="457">
        <f>IF(YEAR(Postup!$H$25)&gt;$D$612,Provozování!AX44,IF(AND(DAY(Postup!$H$25)=31,MONTH(Postup!$H$25)=12,YEAR(Postup!$H$25)=$D$612),Provozování!AX44,IF(YEAR(Postup!$H$25)=$D$612,Provozování!$BL44,0)))</f>
        <v>0</v>
      </c>
      <c r="G647" s="44">
        <v>0</v>
      </c>
      <c r="H647" s="457">
        <f>IF(YEAR(Postup!$H$25)&gt;$D$612,Provozování!AY44,IF(AND(DAY(Postup!$H$25)=31,MONTH(Postup!$H$25)=12,YEAR(Postup!$H$25)=$D$612),Provozování!AY44,IF(YEAR(Postup!$H$25)=$D$612,Provozování!$BM44,0)))</f>
        <v>0</v>
      </c>
      <c r="K647" s="9" t="s">
        <v>46</v>
      </c>
      <c r="L647" s="10" t="s">
        <v>47</v>
      </c>
      <c r="M647" s="11" t="s">
        <v>10</v>
      </c>
      <c r="N647" s="44">
        <v>0</v>
      </c>
      <c r="O647" s="457">
        <f>IF(Provozování!$AZ$16="Neaktivní",0,Provozování!AZ44)</f>
        <v>0</v>
      </c>
      <c r="P647" s="44">
        <v>0</v>
      </c>
      <c r="Q647" s="457">
        <f>IF(Provozování!$AZ$16="Neaktivní",0,Provozování!BA44)</f>
        <v>0</v>
      </c>
      <c r="T647" s="9" t="s">
        <v>46</v>
      </c>
      <c r="U647" s="10" t="s">
        <v>47</v>
      </c>
      <c r="V647" s="11" t="s">
        <v>10</v>
      </c>
      <c r="W647" s="462">
        <v>0</v>
      </c>
      <c r="X647" s="44">
        <f>IF(Provozování!$AX$16="Neaktivní",F647,O647)</f>
        <v>0</v>
      </c>
      <c r="Y647" s="44">
        <f>W647-X647</f>
        <v>0</v>
      </c>
      <c r="Z647" s="462">
        <v>0</v>
      </c>
      <c r="AA647" s="44">
        <f>IF(Provozování!$AX$16="Neaktivní",H647,Q647)</f>
        <v>0</v>
      </c>
      <c r="AB647" s="30">
        <f>Z647-AA647</f>
        <v>0</v>
      </c>
      <c r="AC647" s="146"/>
      <c r="AD647" s="146"/>
      <c r="AE647" s="12" t="s">
        <v>333</v>
      </c>
      <c r="AF647" s="12" t="s">
        <v>339</v>
      </c>
      <c r="AG647" s="270">
        <f>W650-(W638+W640)</f>
        <v>0</v>
      </c>
      <c r="AH647" s="270">
        <f>Z650-(Z638+Z640)</f>
        <v>0</v>
      </c>
      <c r="AK647" s="146"/>
      <c r="AL647" s="146"/>
      <c r="AM647" s="146"/>
      <c r="AN647" s="146"/>
    </row>
    <row r="648" spans="2:40" x14ac:dyDescent="0.25">
      <c r="B648" s="9" t="s">
        <v>48</v>
      </c>
      <c r="C648" s="10" t="s">
        <v>49</v>
      </c>
      <c r="D648" s="11" t="s">
        <v>10</v>
      </c>
      <c r="E648" s="44">
        <v>0</v>
      </c>
      <c r="F648" s="457">
        <f>IF(YEAR(Postup!$H$25)&gt;$D$612,Provozování!AX45,IF(AND(DAY(Postup!$H$25)=31,MONTH(Postup!$H$25)=12,YEAR(Postup!$H$25)=$D$612),Provozování!AX45,IF(YEAR(Postup!$H$25)=$D$612,Provozování!$BL45,0)))</f>
        <v>0</v>
      </c>
      <c r="G648" s="44">
        <v>0</v>
      </c>
      <c r="H648" s="457">
        <f>IF(YEAR(Postup!$H$25)&gt;$D$612,Provozování!AY45,IF(AND(DAY(Postup!$H$25)=31,MONTH(Postup!$H$25)=12,YEAR(Postup!$H$25)=$D$612),Provozování!AY45,IF(YEAR(Postup!$H$25)=$D$612,Provozování!$BM45,0)))</f>
        <v>0</v>
      </c>
      <c r="K648" s="9" t="s">
        <v>48</v>
      </c>
      <c r="L648" s="10" t="s">
        <v>49</v>
      </c>
      <c r="M648" s="11" t="s">
        <v>10</v>
      </c>
      <c r="N648" s="44">
        <v>0</v>
      </c>
      <c r="O648" s="457">
        <f>IF(Provozování!$AZ$16="Neaktivní",0,Provozování!AZ45)</f>
        <v>0</v>
      </c>
      <c r="P648" s="44">
        <v>0</v>
      </c>
      <c r="Q648" s="457">
        <f>IF(Provozování!$AZ$16="Neaktivní",0,Provozování!BA45)</f>
        <v>0</v>
      </c>
      <c r="T648" s="9" t="s">
        <v>48</v>
      </c>
      <c r="U648" s="10" t="s">
        <v>49</v>
      </c>
      <c r="V648" s="11" t="s">
        <v>10</v>
      </c>
      <c r="W648" s="462">
        <v>0</v>
      </c>
      <c r="X648" s="44">
        <f>IF(Provozování!$AX$16="Neaktivní",F648,O648)</f>
        <v>0</v>
      </c>
      <c r="Y648" s="44">
        <f>W648-X648</f>
        <v>0</v>
      </c>
      <c r="Z648" s="462">
        <v>0</v>
      </c>
      <c r="AA648" s="44">
        <f>IF(Provozování!$AX$16="Neaktivní",H648,Q648)</f>
        <v>0</v>
      </c>
      <c r="AB648" s="30">
        <f>Z648-AA648</f>
        <v>0</v>
      </c>
      <c r="AC648" s="146"/>
      <c r="AD648" s="146"/>
      <c r="AE648" s="12" t="s">
        <v>345</v>
      </c>
      <c r="AF648" s="12" t="s">
        <v>346</v>
      </c>
      <c r="AG648" s="270">
        <f>Provozování!AX$102</f>
        <v>0</v>
      </c>
      <c r="AH648" s="270">
        <f>Provozování!AY$102</f>
        <v>0</v>
      </c>
      <c r="AK648" s="146"/>
      <c r="AL648" s="146"/>
      <c r="AM648" s="146"/>
      <c r="AN648" s="146"/>
    </row>
    <row r="649" spans="2:40" x14ac:dyDescent="0.25">
      <c r="B649" s="12" t="s">
        <v>386</v>
      </c>
      <c r="C649" s="12" t="s">
        <v>385</v>
      </c>
      <c r="D649" s="3" t="s">
        <v>10</v>
      </c>
      <c r="E649" s="44"/>
      <c r="F649" s="456">
        <f>Provozování!AX46</f>
        <v>0.02</v>
      </c>
      <c r="G649" s="44"/>
      <c r="H649" s="457">
        <f>Provozování!AY46</f>
        <v>0.02</v>
      </c>
      <c r="K649" s="12" t="s">
        <v>386</v>
      </c>
      <c r="L649" s="12" t="s">
        <v>385</v>
      </c>
      <c r="M649" s="3" t="s">
        <v>10</v>
      </c>
      <c r="N649" s="44"/>
      <c r="O649" s="456">
        <f>IF(Provozování!$AZ$16="Neaktivní",0,Provozování!AZ46)</f>
        <v>0</v>
      </c>
      <c r="P649" s="44"/>
      <c r="Q649" s="457">
        <f>IF(Provozování!$AZ$16="Neaktivní",0,Provozování!BA46)</f>
        <v>0</v>
      </c>
      <c r="T649" s="12" t="s">
        <v>386</v>
      </c>
      <c r="U649" s="12" t="s">
        <v>385</v>
      </c>
      <c r="V649" s="3" t="s">
        <v>10</v>
      </c>
      <c r="W649" s="462">
        <v>0</v>
      </c>
      <c r="X649" s="44"/>
      <c r="Y649" s="44"/>
      <c r="Z649" s="462">
        <v>0</v>
      </c>
      <c r="AA649" s="44"/>
      <c r="AB649" s="30"/>
      <c r="AC649" s="146"/>
      <c r="AD649" s="146"/>
      <c r="AE649" s="435" t="s">
        <v>349</v>
      </c>
      <c r="AF649" s="436"/>
      <c r="AG649" s="1066">
        <f>(AG643*AG644-AG643*AG645)+(AG646-AG647)-AG648</f>
        <v>0</v>
      </c>
      <c r="AH649" s="1066">
        <f>(AH643*AH644-AH643*AH645)+(AH646-AH647)-AH648</f>
        <v>0</v>
      </c>
      <c r="AK649" s="146"/>
      <c r="AL649" s="146"/>
      <c r="AM649" s="146"/>
      <c r="AN649" s="146"/>
    </row>
    <row r="650" spans="2:40" x14ac:dyDescent="0.25">
      <c r="B650" s="9" t="s">
        <v>50</v>
      </c>
      <c r="C650" s="10" t="s">
        <v>391</v>
      </c>
      <c r="D650" s="11" t="s">
        <v>10</v>
      </c>
      <c r="E650" s="41">
        <f>E625+E630+E633+E636+E641+E645+E646+E647+E648</f>
        <v>0</v>
      </c>
      <c r="F650" s="41">
        <f>F625+F630+F633+F636+F641+F645+F646+F647+F648</f>
        <v>0</v>
      </c>
      <c r="G650" s="41">
        <f>G625+G630+G633+G636+G641+G645+G646+G647+G648</f>
        <v>0</v>
      </c>
      <c r="H650" s="86">
        <f>H625+H630+H633+H636+H641+H645+H646+H647+H648</f>
        <v>0</v>
      </c>
      <c r="K650" s="9" t="s">
        <v>50</v>
      </c>
      <c r="L650" s="10" t="s">
        <v>391</v>
      </c>
      <c r="M650" s="11" t="s">
        <v>10</v>
      </c>
      <c r="N650" s="41">
        <f>N625+N630+N633+N636+N641+N645+N646+N647+N648</f>
        <v>0</v>
      </c>
      <c r="O650" s="41">
        <f>O625+O630+O633+O636+O641+O645+O646+O647+O648</f>
        <v>0</v>
      </c>
      <c r="P650" s="41">
        <f>P625+P630+P633+P636+P641+P645+P646+P647+P648</f>
        <v>0</v>
      </c>
      <c r="Q650" s="86">
        <f>Q625+Q630+Q633+Q636+Q641+Q645+Q646+Q647+Q648</f>
        <v>0</v>
      </c>
      <c r="T650" s="9" t="s">
        <v>50</v>
      </c>
      <c r="U650" s="10" t="s">
        <v>391</v>
      </c>
      <c r="V650" s="11" t="s">
        <v>10</v>
      </c>
      <c r="W650" s="41">
        <f t="shared" ref="W650:AB650" si="71">W625+W630+W633+W636+W641+W645+W646+W647+W648</f>
        <v>0</v>
      </c>
      <c r="X650" s="41">
        <f t="shared" si="71"/>
        <v>0</v>
      </c>
      <c r="Y650" s="41">
        <f t="shared" si="71"/>
        <v>0</v>
      </c>
      <c r="Z650" s="41">
        <f t="shared" si="71"/>
        <v>0</v>
      </c>
      <c r="AA650" s="41">
        <f t="shared" si="71"/>
        <v>0</v>
      </c>
      <c r="AB650" s="86">
        <f t="shared" si="71"/>
        <v>0</v>
      </c>
      <c r="AC650" s="146"/>
      <c r="AD650" s="146"/>
      <c r="AE650" s="425" t="s">
        <v>347</v>
      </c>
      <c r="AF650" s="424"/>
      <c r="AG650" s="1067"/>
      <c r="AH650" s="1067"/>
      <c r="AK650" s="146"/>
      <c r="AL650" s="146"/>
      <c r="AM650" s="146"/>
      <c r="AN650" s="146"/>
    </row>
    <row r="651" spans="2:40" hidden="1" x14ac:dyDescent="0.25">
      <c r="B651" s="12" t="s">
        <v>389</v>
      </c>
      <c r="C651" s="13" t="s">
        <v>96</v>
      </c>
      <c r="D651" s="3" t="s">
        <v>10</v>
      </c>
      <c r="E651" s="329">
        <v>0</v>
      </c>
      <c r="F651" s="458">
        <f>F575</f>
        <v>0</v>
      </c>
      <c r="G651" s="329">
        <v>0</v>
      </c>
      <c r="H651" s="460">
        <f>H575</f>
        <v>0</v>
      </c>
      <c r="K651" s="12" t="s">
        <v>389</v>
      </c>
      <c r="L651" s="13" t="s">
        <v>96</v>
      </c>
      <c r="M651" s="3" t="s">
        <v>10</v>
      </c>
      <c r="N651" s="329">
        <v>0</v>
      </c>
      <c r="O651" s="329">
        <f>IF(Provozování!$V$16="Neaktivní",0,F651)</f>
        <v>0</v>
      </c>
      <c r="P651" s="329">
        <v>0</v>
      </c>
      <c r="Q651" s="330">
        <f>IF(Provozování!$V$16="Neaktivní",0,H651)</f>
        <v>0</v>
      </c>
      <c r="T651" s="42" t="s">
        <v>389</v>
      </c>
      <c r="U651" s="13" t="s">
        <v>96</v>
      </c>
      <c r="V651" s="3" t="s">
        <v>10</v>
      </c>
      <c r="W651" s="458">
        <v>0</v>
      </c>
      <c r="X651" s="329">
        <f>F651</f>
        <v>0</v>
      </c>
      <c r="Y651" s="329">
        <f>W651-X651</f>
        <v>0</v>
      </c>
      <c r="Z651" s="458">
        <v>0</v>
      </c>
      <c r="AA651" s="329">
        <f>H651</f>
        <v>0</v>
      </c>
      <c r="AB651" s="330">
        <f>Z651-AA651</f>
        <v>0</v>
      </c>
      <c r="AC651" s="146"/>
      <c r="AD651" s="146"/>
      <c r="AK651" s="146"/>
      <c r="AL651" s="146"/>
      <c r="AM651" s="146"/>
      <c r="AN651" s="146"/>
    </row>
    <row r="652" spans="2:40" hidden="1" x14ac:dyDescent="0.25">
      <c r="B652" s="12" t="s">
        <v>389</v>
      </c>
      <c r="C652" s="13" t="s">
        <v>97</v>
      </c>
      <c r="D652" s="3" t="s">
        <v>10</v>
      </c>
      <c r="E652" s="329">
        <v>0</v>
      </c>
      <c r="F652" s="458">
        <f>F576</f>
        <v>0</v>
      </c>
      <c r="G652" s="329">
        <v>0</v>
      </c>
      <c r="H652" s="460">
        <f>H576</f>
        <v>0</v>
      </c>
      <c r="K652" s="12" t="s">
        <v>389</v>
      </c>
      <c r="L652" s="13" t="s">
        <v>97</v>
      </c>
      <c r="M652" s="3" t="s">
        <v>10</v>
      </c>
      <c r="N652" s="329">
        <v>0</v>
      </c>
      <c r="O652" s="329">
        <f>IF(Provozování!$V$16="Neaktivní",0,F652)</f>
        <v>0</v>
      </c>
      <c r="P652" s="329">
        <v>0</v>
      </c>
      <c r="Q652" s="330">
        <f>IF(Provozování!$V$16="Neaktivní",0,H652)</f>
        <v>0</v>
      </c>
      <c r="T652" s="12" t="s">
        <v>389</v>
      </c>
      <c r="U652" s="13" t="s">
        <v>97</v>
      </c>
      <c r="V652" s="3" t="s">
        <v>10</v>
      </c>
      <c r="W652" s="458">
        <v>0</v>
      </c>
      <c r="X652" s="329">
        <f>F652</f>
        <v>0</v>
      </c>
      <c r="Y652" s="329">
        <f>W652-X652</f>
        <v>0</v>
      </c>
      <c r="Z652" s="458">
        <v>0</v>
      </c>
      <c r="AA652" s="329">
        <f>H652</f>
        <v>0</v>
      </c>
      <c r="AB652" s="330">
        <f>Z652-AA652</f>
        <v>0</v>
      </c>
      <c r="AC652" s="146"/>
      <c r="AD652" s="146"/>
      <c r="AK652" s="146"/>
      <c r="AL652" s="146"/>
      <c r="AM652" s="146"/>
      <c r="AN652" s="146"/>
    </row>
    <row r="653" spans="2:40" x14ac:dyDescent="0.25">
      <c r="B653" s="12" t="s">
        <v>51</v>
      </c>
      <c r="C653" s="13" t="s">
        <v>54</v>
      </c>
      <c r="D653" s="3" t="s">
        <v>55</v>
      </c>
      <c r="E653" s="331">
        <v>0</v>
      </c>
      <c r="F653" s="459">
        <f>F577</f>
        <v>0</v>
      </c>
      <c r="G653" s="331">
        <v>0</v>
      </c>
      <c r="H653" s="459">
        <f>H577</f>
        <v>0</v>
      </c>
      <c r="K653" s="12" t="s">
        <v>51</v>
      </c>
      <c r="L653" s="13" t="s">
        <v>54</v>
      </c>
      <c r="M653" s="3" t="s">
        <v>55</v>
      </c>
      <c r="N653" s="331">
        <v>0</v>
      </c>
      <c r="O653" s="331">
        <f>IF(Provozování!$V$16="Neaktivní",0,F653)</f>
        <v>0</v>
      </c>
      <c r="P653" s="331">
        <v>0</v>
      </c>
      <c r="Q653" s="332">
        <f>IF(Provozování!$V$16="Neaktivní",0,H653)</f>
        <v>0</v>
      </c>
      <c r="T653" s="12" t="s">
        <v>51</v>
      </c>
      <c r="U653" s="13" t="s">
        <v>54</v>
      </c>
      <c r="V653" s="3" t="s">
        <v>55</v>
      </c>
      <c r="W653" s="466">
        <v>0</v>
      </c>
      <c r="X653" s="331">
        <f>F653</f>
        <v>0</v>
      </c>
      <c r="Y653" s="332">
        <f>W653-X653</f>
        <v>0</v>
      </c>
      <c r="Z653" s="466">
        <v>0</v>
      </c>
      <c r="AA653" s="331">
        <f>H653</f>
        <v>0</v>
      </c>
      <c r="AB653" s="332">
        <f>Z653-AA653</f>
        <v>0</v>
      </c>
      <c r="AC653" s="146"/>
      <c r="AD653" s="146"/>
      <c r="AE653" s="1068" t="s">
        <v>337</v>
      </c>
      <c r="AF653" s="1069"/>
      <c r="AG653" s="1072" t="str">
        <f>IF(AG649&gt;0,"úspora",IF(AG649&lt;0,"ztráta provozovatele","-"))</f>
        <v>-</v>
      </c>
      <c r="AH653" s="1072" t="str">
        <f>IF(AH649&gt;0,"úspora",IF(AH649&lt;0,"ztráta provozovatele","-"))</f>
        <v>-</v>
      </c>
      <c r="AK653" s="146"/>
      <c r="AL653" s="146"/>
      <c r="AM653" s="146"/>
      <c r="AN653" s="146"/>
    </row>
    <row r="654" spans="2:40" x14ac:dyDescent="0.25">
      <c r="B654" s="12" t="s">
        <v>52</v>
      </c>
      <c r="C654" s="13" t="s">
        <v>57</v>
      </c>
      <c r="D654" s="3" t="s">
        <v>58</v>
      </c>
      <c r="E654" s="44">
        <v>0</v>
      </c>
      <c r="F654" s="44">
        <f>IF(YEAR(Postup!$H$25)&gt;$D$612,Provozování!AX49,IF(AND(DAY(Postup!$H$25)=31,MONTH(Postup!$H$25)=12,YEAR(Postup!$H$25)=$D$612),Provozování!AX49,IF(YEAR(Postup!$H$25)=$D$612,Provozování!$BL49,0)))</f>
        <v>0</v>
      </c>
      <c r="G654" s="44">
        <v>0</v>
      </c>
      <c r="H654" s="334">
        <v>0</v>
      </c>
      <c r="K654" s="12" t="s">
        <v>52</v>
      </c>
      <c r="L654" s="13" t="s">
        <v>57</v>
      </c>
      <c r="M654" s="3" t="s">
        <v>58</v>
      </c>
      <c r="N654" s="44">
        <v>0</v>
      </c>
      <c r="O654" s="44">
        <f>IF(Provozování!$AZ$16="Neaktivní",0,Provozování!AZ49)</f>
        <v>0</v>
      </c>
      <c r="P654" s="44">
        <v>0</v>
      </c>
      <c r="Q654" s="334">
        <v>0</v>
      </c>
      <c r="T654" s="12" t="s">
        <v>52</v>
      </c>
      <c r="U654" s="13" t="s">
        <v>57</v>
      </c>
      <c r="V654" s="3" t="s">
        <v>58</v>
      </c>
      <c r="W654" s="462">
        <v>0</v>
      </c>
      <c r="X654" s="44">
        <f>IF(Provozování!$AX$16="Neaktivní",F654,O654)</f>
        <v>0</v>
      </c>
      <c r="Y654" s="44">
        <f>W654-X654</f>
        <v>0</v>
      </c>
      <c r="Z654" s="337">
        <v>0</v>
      </c>
      <c r="AA654" s="337">
        <v>0</v>
      </c>
      <c r="AB654" s="334">
        <v>0</v>
      </c>
      <c r="AC654" s="146"/>
      <c r="AD654" s="146"/>
      <c r="AE654" s="1070"/>
      <c r="AF654" s="1071"/>
      <c r="AG654" s="1000"/>
      <c r="AH654" s="1000"/>
      <c r="AK654" s="146"/>
      <c r="AL654" s="146"/>
      <c r="AM654" s="146"/>
      <c r="AN654" s="146"/>
    </row>
    <row r="655" spans="2:40" x14ac:dyDescent="0.25">
      <c r="B655" s="12" t="s">
        <v>53</v>
      </c>
      <c r="C655" s="13" t="s">
        <v>60</v>
      </c>
      <c r="D655" s="3" t="s">
        <v>58</v>
      </c>
      <c r="E655" s="44">
        <v>0</v>
      </c>
      <c r="F655" s="44">
        <f>IF(YEAR(Postup!$H$25)&gt;$D$612,Provozování!AX50,IF(AND(DAY(Postup!$H$25)=31,MONTH(Postup!$H$25)=12,YEAR(Postup!$H$25)=$D$612),Provozování!AX50,IF(YEAR(Postup!$H$25)=$D$612,Provozování!$BL50,0)))</f>
        <v>0</v>
      </c>
      <c r="G655" s="44">
        <v>0</v>
      </c>
      <c r="H655" s="334">
        <v>0</v>
      </c>
      <c r="K655" s="12" t="s">
        <v>53</v>
      </c>
      <c r="L655" s="13" t="s">
        <v>60</v>
      </c>
      <c r="M655" s="3" t="s">
        <v>58</v>
      </c>
      <c r="N655" s="44">
        <v>0</v>
      </c>
      <c r="O655" s="44">
        <f>IF(Provozování!$AZ$16="Neaktivní",0,Provozování!AZ50)</f>
        <v>0</v>
      </c>
      <c r="P655" s="44">
        <v>0</v>
      </c>
      <c r="Q655" s="334">
        <v>0</v>
      </c>
      <c r="T655" s="12" t="s">
        <v>53</v>
      </c>
      <c r="U655" s="13" t="s">
        <v>60</v>
      </c>
      <c r="V655" s="3" t="s">
        <v>58</v>
      </c>
      <c r="W655" s="462">
        <v>0</v>
      </c>
      <c r="X655" s="44">
        <f>IF(Provozování!$AX$16="Neaktivní",F655,O655)</f>
        <v>0</v>
      </c>
      <c r="Y655" s="44">
        <f>W655-X655</f>
        <v>0</v>
      </c>
      <c r="Z655" s="337">
        <v>0</v>
      </c>
      <c r="AA655" s="337">
        <v>0</v>
      </c>
      <c r="AB655" s="334">
        <v>0</v>
      </c>
      <c r="AC655" s="146"/>
      <c r="AD655" s="146"/>
      <c r="AE655" s="414" t="s">
        <v>343</v>
      </c>
      <c r="AF655" s="414"/>
      <c r="AG655" s="344">
        <f>IF(AG649&gt;0,AG649/AG646,0)</f>
        <v>0</v>
      </c>
      <c r="AH655" s="344">
        <f>IF(AH649&gt;0,AH649/AH646,0)</f>
        <v>0</v>
      </c>
      <c r="AK655" s="146"/>
      <c r="AL655" s="146"/>
      <c r="AM655" s="146"/>
      <c r="AN655" s="146"/>
    </row>
    <row r="656" spans="2:40" x14ac:dyDescent="0.25">
      <c r="B656" s="12" t="s">
        <v>56</v>
      </c>
      <c r="C656" s="13" t="s">
        <v>62</v>
      </c>
      <c r="D656" s="3" t="s">
        <v>58</v>
      </c>
      <c r="E656" s="44">
        <v>0</v>
      </c>
      <c r="F656" s="337">
        <v>0</v>
      </c>
      <c r="G656" s="44">
        <v>0</v>
      </c>
      <c r="H656" s="30">
        <f>IF(YEAR(Postup!$H$25)&gt;$D$612,Provozování!AY51,IF(AND(DAY(Postup!$H$25)=31,MONTH(Postup!$H$25)=12,YEAR(Postup!$H$25)=$D$612),Provozování!AY51,IF(YEAR(Postup!$H$25)=$D$612,Provozování!$BM51,0)))</f>
        <v>0</v>
      </c>
      <c r="K656" s="12" t="s">
        <v>56</v>
      </c>
      <c r="L656" s="13" t="s">
        <v>62</v>
      </c>
      <c r="M656" s="3" t="s">
        <v>58</v>
      </c>
      <c r="N656" s="44">
        <v>0</v>
      </c>
      <c r="O656" s="337">
        <v>0</v>
      </c>
      <c r="P656" s="44">
        <v>0</v>
      </c>
      <c r="Q656" s="53">
        <f>IF(Provozování!$AZ$16="Neaktivní",0,Provozování!BA51)</f>
        <v>0</v>
      </c>
      <c r="T656" s="12" t="s">
        <v>56</v>
      </c>
      <c r="U656" s="13" t="s">
        <v>62</v>
      </c>
      <c r="V656" s="3" t="s">
        <v>58</v>
      </c>
      <c r="W656" s="337">
        <v>0</v>
      </c>
      <c r="X656" s="337">
        <v>0</v>
      </c>
      <c r="Y656" s="337">
        <v>0</v>
      </c>
      <c r="Z656" s="462">
        <v>0</v>
      </c>
      <c r="AA656" s="44">
        <f>IF(Provozování!$AX$16="Neaktivní",H656,Q656)</f>
        <v>0</v>
      </c>
      <c r="AB656" s="30">
        <f t="shared" ref="AB656:AB661" si="72">Z656-AA656</f>
        <v>0</v>
      </c>
      <c r="AC656" s="146"/>
      <c r="AD656" s="146"/>
      <c r="AE656" s="437" t="s">
        <v>323</v>
      </c>
      <c r="AF656" s="437"/>
      <c r="AG656" s="715"/>
      <c r="AH656" s="715"/>
      <c r="AK656" s="146"/>
      <c r="AL656" s="146"/>
      <c r="AM656" s="146"/>
      <c r="AN656" s="146"/>
    </row>
    <row r="657" spans="2:40" x14ac:dyDescent="0.25">
      <c r="B657" s="12" t="s">
        <v>59</v>
      </c>
      <c r="C657" s="13" t="s">
        <v>60</v>
      </c>
      <c r="D657" s="3" t="s">
        <v>58</v>
      </c>
      <c r="E657" s="44">
        <v>0</v>
      </c>
      <c r="F657" s="337">
        <v>0</v>
      </c>
      <c r="G657" s="44">
        <v>0</v>
      </c>
      <c r="H657" s="30">
        <f>IF(YEAR(Postup!$H$25)&gt;$D$612,Provozování!AY52,IF(AND(DAY(Postup!$H$25)=31,MONTH(Postup!$H$25)=12,YEAR(Postup!$H$25)=$D$612),Provozování!AY52,IF(YEAR(Postup!$H$25)=$D$612,Provozování!$BM52,0)))</f>
        <v>0</v>
      </c>
      <c r="K657" s="12" t="s">
        <v>59</v>
      </c>
      <c r="L657" s="13" t="s">
        <v>60</v>
      </c>
      <c r="M657" s="3" t="s">
        <v>58</v>
      </c>
      <c r="N657" s="44">
        <v>0</v>
      </c>
      <c r="O657" s="337">
        <v>0</v>
      </c>
      <c r="P657" s="44">
        <v>0</v>
      </c>
      <c r="Q657" s="53">
        <f>IF(Provozování!$AZ$16="Neaktivní",0,Provozování!BA52)</f>
        <v>0</v>
      </c>
      <c r="T657" s="12" t="s">
        <v>59</v>
      </c>
      <c r="U657" s="13" t="s">
        <v>60</v>
      </c>
      <c r="V657" s="3" t="s">
        <v>58</v>
      </c>
      <c r="W657" s="337">
        <v>0</v>
      </c>
      <c r="X657" s="337">
        <v>0</v>
      </c>
      <c r="Y657" s="337">
        <v>0</v>
      </c>
      <c r="Z657" s="462">
        <v>0</v>
      </c>
      <c r="AA657" s="44">
        <f>IF(Provozování!$AX$16="Neaktivní",H657,Q657)</f>
        <v>0</v>
      </c>
      <c r="AB657" s="30">
        <f t="shared" si="72"/>
        <v>0</v>
      </c>
      <c r="AC657" s="146"/>
      <c r="AD657" s="146"/>
      <c r="AE657" s="438" t="s">
        <v>334</v>
      </c>
      <c r="AF657" s="438"/>
      <c r="AG657" s="712">
        <f>IF(AG655&gt;0,AG646*AI657*0.5,0)</f>
        <v>0</v>
      </c>
      <c r="AH657" s="712">
        <f>IF(AH655&gt;0,AH646*AJ657*0.5,0)</f>
        <v>0</v>
      </c>
      <c r="AI657" s="345">
        <f>IF(AG655&gt;0.05,0.05,AG655)</f>
        <v>0</v>
      </c>
      <c r="AJ657" s="345">
        <f>IF(AH655&gt;0.05,0.05,AH655)</f>
        <v>0</v>
      </c>
      <c r="AK657" s="146"/>
      <c r="AL657" s="146"/>
      <c r="AM657" s="146"/>
      <c r="AN657" s="146"/>
    </row>
    <row r="658" spans="2:40" x14ac:dyDescent="0.25">
      <c r="B658" s="12" t="s">
        <v>61</v>
      </c>
      <c r="C658" s="13" t="s">
        <v>65</v>
      </c>
      <c r="D658" s="3" t="s">
        <v>58</v>
      </c>
      <c r="E658" s="44">
        <v>0</v>
      </c>
      <c r="F658" s="337">
        <v>0</v>
      </c>
      <c r="G658" s="44">
        <v>0</v>
      </c>
      <c r="H658" s="30">
        <f>IF(YEAR(Postup!$H$25)&gt;$D$612,Provozování!AY53,IF(AND(DAY(Postup!$H$25)=31,MONTH(Postup!$H$25)=12,YEAR(Postup!$H$25)=$D$612),Provozování!AY53,IF(YEAR(Postup!$H$25)=$D$612,Provozování!$BM53,0)))</f>
        <v>0</v>
      </c>
      <c r="K658" s="12" t="s">
        <v>61</v>
      </c>
      <c r="L658" s="13" t="s">
        <v>65</v>
      </c>
      <c r="M658" s="3" t="s">
        <v>58</v>
      </c>
      <c r="N658" s="44">
        <v>0</v>
      </c>
      <c r="O658" s="337">
        <v>0</v>
      </c>
      <c r="P658" s="44">
        <v>0</v>
      </c>
      <c r="Q658" s="53">
        <f>IF(Provozování!$AZ$16="Neaktivní",0,Provozování!BA53)</f>
        <v>0</v>
      </c>
      <c r="T658" s="12" t="s">
        <v>61</v>
      </c>
      <c r="U658" s="13" t="s">
        <v>65</v>
      </c>
      <c r="V658" s="3" t="s">
        <v>58</v>
      </c>
      <c r="W658" s="337">
        <v>0</v>
      </c>
      <c r="X658" s="337">
        <v>0</v>
      </c>
      <c r="Y658" s="337">
        <v>0</v>
      </c>
      <c r="Z658" s="462">
        <v>0</v>
      </c>
      <c r="AA658" s="44">
        <f>IF(Provozování!$AX$16="Neaktivní",H658,Q658)</f>
        <v>0</v>
      </c>
      <c r="AB658" s="30">
        <f t="shared" si="72"/>
        <v>0</v>
      </c>
      <c r="AC658" s="146"/>
      <c r="AD658" s="146"/>
      <c r="AE658" s="415" t="s">
        <v>335</v>
      </c>
      <c r="AF658" s="415"/>
      <c r="AG658" s="270">
        <f>IF(AI658&gt;0,AG646*(AI658-0.05)*0.8,0)</f>
        <v>0</v>
      </c>
      <c r="AH658" s="270">
        <f>IF(AJ658&gt;0,AH646*(AJ658-0.05)*0.8,0)</f>
        <v>0</v>
      </c>
      <c r="AI658" s="345">
        <f>IF(AND(AG655&gt;0.05,AG655&lt;=0.1),AG655,IF(AG655&lt;=0.05,0,0.1))</f>
        <v>0</v>
      </c>
      <c r="AJ658" s="345">
        <f>IF(AND(AH655&gt;0.05,AH655&lt;=0.1),AH655,IF(AH655&lt;=0.05,0,0.1))</f>
        <v>0</v>
      </c>
      <c r="AK658" s="146"/>
      <c r="AL658" s="146"/>
      <c r="AM658" s="146"/>
      <c r="AN658" s="146"/>
    </row>
    <row r="659" spans="2:40" x14ac:dyDescent="0.25">
      <c r="B659" s="12" t="s">
        <v>63</v>
      </c>
      <c r="C659" s="13" t="s">
        <v>67</v>
      </c>
      <c r="D659" s="3" t="s">
        <v>58</v>
      </c>
      <c r="E659" s="44">
        <v>0</v>
      </c>
      <c r="F659" s="337">
        <v>0</v>
      </c>
      <c r="G659" s="44">
        <v>0</v>
      </c>
      <c r="H659" s="30">
        <f>IF(YEAR(Postup!$H$25)&gt;$D$612,Provozování!AY54,IF(AND(DAY(Postup!$H$25)=31,MONTH(Postup!$H$25)=12,YEAR(Postup!$H$25)=$D$612),Provozování!AY54,IF(YEAR(Postup!$H$25)=$D$612,Provozování!$BM54,0)))</f>
        <v>0</v>
      </c>
      <c r="K659" s="12" t="s">
        <v>63</v>
      </c>
      <c r="L659" s="13" t="s">
        <v>67</v>
      </c>
      <c r="M659" s="3" t="s">
        <v>58</v>
      </c>
      <c r="N659" s="44">
        <v>0</v>
      </c>
      <c r="O659" s="337">
        <v>0</v>
      </c>
      <c r="P659" s="44">
        <v>0</v>
      </c>
      <c r="Q659" s="53">
        <f>IF(Provozování!$AZ$16="Neaktivní",0,Provozování!BA54)</f>
        <v>0</v>
      </c>
      <c r="T659" s="12" t="s">
        <v>63</v>
      </c>
      <c r="U659" s="13" t="s">
        <v>67</v>
      </c>
      <c r="V659" s="3" t="s">
        <v>58</v>
      </c>
      <c r="W659" s="337">
        <v>0</v>
      </c>
      <c r="X659" s="337">
        <v>0</v>
      </c>
      <c r="Y659" s="337">
        <v>0</v>
      </c>
      <c r="Z659" s="462">
        <v>0</v>
      </c>
      <c r="AA659" s="44">
        <f>IF(Provozování!$AX$16="Neaktivní",H659,Q659)</f>
        <v>0</v>
      </c>
      <c r="AB659" s="30">
        <f t="shared" si="72"/>
        <v>0</v>
      </c>
      <c r="AC659" s="146"/>
      <c r="AD659" s="146"/>
      <c r="AE659" s="415" t="s">
        <v>336</v>
      </c>
      <c r="AF659" s="415"/>
      <c r="AG659" s="270">
        <f>IF(AI659&gt;0,AG646*(AI659-0.1)*1,0)</f>
        <v>0</v>
      </c>
      <c r="AH659" s="270">
        <f>IF(AJ659&gt;0,AH646*(AJ659-0.1)*1,0)</f>
        <v>0</v>
      </c>
      <c r="AI659" s="345">
        <f>IF(AG655&gt;0.1,AG655,0)</f>
        <v>0</v>
      </c>
      <c r="AJ659" s="345">
        <f>IF(AH655&gt;0.1,AH655,0)</f>
        <v>0</v>
      </c>
      <c r="AK659" s="146"/>
      <c r="AL659" s="146"/>
      <c r="AM659" s="146"/>
      <c r="AN659" s="146"/>
    </row>
    <row r="660" spans="2:40" x14ac:dyDescent="0.25">
      <c r="B660" s="12" t="s">
        <v>64</v>
      </c>
      <c r="C660" s="13" t="s">
        <v>68</v>
      </c>
      <c r="D660" s="3" t="s">
        <v>58</v>
      </c>
      <c r="E660" s="44">
        <v>0</v>
      </c>
      <c r="F660" s="44">
        <f>IF(YEAR(Postup!$H$25)&gt;$D$612,Provozování!AX55,IF(AND(DAY(Postup!$H$25)=31,MONTH(Postup!$H$25)=12,YEAR(Postup!$H$25)=$D$612),Provozování!AX55,IF(YEAR(Postup!$H$25)=$D$612,Provozování!$BL55,0)))</f>
        <v>0</v>
      </c>
      <c r="G660" s="44">
        <v>0</v>
      </c>
      <c r="H660" s="30">
        <f>IF(YEAR(Postup!$H$25)&gt;$D$612,Provozování!AY55,IF(AND(DAY(Postup!$H$25)=31,MONTH(Postup!$H$25)=12,YEAR(Postup!$H$25)=$D$612),Provozování!AY55,IF(YEAR(Postup!$H$25)=$D$612,Provozování!$BM55,0)))</f>
        <v>0</v>
      </c>
      <c r="K660" s="12" t="s">
        <v>64</v>
      </c>
      <c r="L660" s="13" t="s">
        <v>68</v>
      </c>
      <c r="M660" s="3" t="s">
        <v>58</v>
      </c>
      <c r="N660" s="44">
        <v>0</v>
      </c>
      <c r="O660" s="44">
        <f>IF(Provozování!$AZ$16="Neaktivní",0,Provozování!AZ55)</f>
        <v>0</v>
      </c>
      <c r="P660" s="44">
        <v>0</v>
      </c>
      <c r="Q660" s="53">
        <f>IF(Provozování!$AZ$16="Neaktivní",0,Provozování!BA55)</f>
        <v>0</v>
      </c>
      <c r="T660" s="12" t="s">
        <v>64</v>
      </c>
      <c r="U660" s="13" t="s">
        <v>68</v>
      </c>
      <c r="V660" s="3" t="s">
        <v>58</v>
      </c>
      <c r="W660" s="462">
        <v>0</v>
      </c>
      <c r="X660" s="44">
        <f>IF(Provozování!$AX$16="Neaktivní",F660,O660)</f>
        <v>0</v>
      </c>
      <c r="Y660" s="44">
        <f>W660-X660</f>
        <v>0</v>
      </c>
      <c r="Z660" s="462">
        <v>0</v>
      </c>
      <c r="AA660" s="44">
        <f>IF(Provozování!$AX$16="Neaktivní",H660,Q660)</f>
        <v>0</v>
      </c>
      <c r="AB660" s="30">
        <f t="shared" si="72"/>
        <v>0</v>
      </c>
      <c r="AC660" s="146"/>
      <c r="AD660" s="146"/>
      <c r="AE660" s="413" t="s">
        <v>324</v>
      </c>
      <c r="AF660" s="413"/>
      <c r="AG660" s="346">
        <f>SUM(AG657:AG659)</f>
        <v>0</v>
      </c>
      <c r="AH660" s="346">
        <f>SUM(AH657:AH659)</f>
        <v>0</v>
      </c>
      <c r="AK660" s="146"/>
      <c r="AL660" s="146"/>
      <c r="AM660" s="146"/>
      <c r="AN660" s="146"/>
    </row>
    <row r="661" spans="2:40" x14ac:dyDescent="0.25">
      <c r="B661" s="12" t="s">
        <v>66</v>
      </c>
      <c r="C661" s="13" t="s">
        <v>69</v>
      </c>
      <c r="D661" s="3" t="s">
        <v>58</v>
      </c>
      <c r="E661" s="44">
        <v>0</v>
      </c>
      <c r="F661" s="44">
        <f>IF(YEAR(Postup!$H$25)&gt;$D$612,Provozování!AX56,IF(AND(DAY(Postup!$H$25)=31,MONTH(Postup!$H$25)=12,YEAR(Postup!$H$25)=$D$612),Provozování!AX56,IF(YEAR(Postup!$H$25)=$D$612,Provozování!$BL56,0)))</f>
        <v>0</v>
      </c>
      <c r="G661" s="44">
        <v>0</v>
      </c>
      <c r="H661" s="30">
        <f>IF(YEAR(Postup!$H$25)&gt;$D$612,Provozování!AY56,IF(AND(DAY(Postup!$H$25)=31,MONTH(Postup!$H$25)=12,YEAR(Postup!$H$25)=$D$612),Provozování!AY56,IF(YEAR(Postup!$H$25)=$D$612,Provozování!$BM56,0)))</f>
        <v>0</v>
      </c>
      <c r="K661" s="12" t="s">
        <v>66</v>
      </c>
      <c r="L661" s="13" t="s">
        <v>69</v>
      </c>
      <c r="M661" s="3" t="s">
        <v>58</v>
      </c>
      <c r="N661" s="44">
        <v>0</v>
      </c>
      <c r="O661" s="44">
        <f>IF(Provozování!$AZ$16="Neaktivní",0,Provozování!AZ56)</f>
        <v>0</v>
      </c>
      <c r="P661" s="44">
        <v>0</v>
      </c>
      <c r="Q661" s="30">
        <f>IF(Provozování!$AZ$16="Neaktivní",0,Provozování!BA56)</f>
        <v>0</v>
      </c>
      <c r="T661" s="12" t="s">
        <v>66</v>
      </c>
      <c r="U661" s="13" t="s">
        <v>69</v>
      </c>
      <c r="V661" s="3" t="s">
        <v>58</v>
      </c>
      <c r="W661" s="462">
        <v>0</v>
      </c>
      <c r="X661" s="44">
        <f>IF(Provozování!$AX$16="Neaktivní",F661,O661)</f>
        <v>0</v>
      </c>
      <c r="Y661" s="44">
        <f>W661-X661</f>
        <v>0</v>
      </c>
      <c r="Z661" s="462">
        <v>0</v>
      </c>
      <c r="AA661" s="44">
        <f>IF(Provozování!$AX$16="Neaktivní",H661,Q661)</f>
        <v>0</v>
      </c>
      <c r="AB661" s="30">
        <f t="shared" si="72"/>
        <v>0</v>
      </c>
      <c r="AC661" s="146"/>
      <c r="AD661" s="146"/>
      <c r="AE661" s="146"/>
      <c r="AF661" s="146"/>
      <c r="AG661" s="146"/>
      <c r="AH661" s="146"/>
      <c r="AI661" s="146"/>
      <c r="AJ661" s="146"/>
      <c r="AK661" s="146"/>
      <c r="AL661" s="146"/>
      <c r="AM661" s="146"/>
      <c r="AN661" s="146"/>
    </row>
    <row r="662" spans="2:40" x14ac:dyDescent="0.25">
      <c r="B662" s="1"/>
      <c r="C662" s="1"/>
      <c r="D662" s="1"/>
      <c r="E662" s="1"/>
      <c r="F662" s="347"/>
      <c r="G662" s="1"/>
      <c r="H662" s="347"/>
      <c r="K662" s="1"/>
      <c r="L662" s="1"/>
      <c r="M662" s="1"/>
      <c r="N662" s="1"/>
      <c r="O662" s="1"/>
      <c r="P662" s="1"/>
      <c r="Q662" s="1"/>
      <c r="T662" s="1"/>
      <c r="U662" s="1"/>
      <c r="V662" s="1"/>
      <c r="W662" s="1"/>
      <c r="X662" s="1"/>
      <c r="Y662" s="1"/>
      <c r="Z662" s="1"/>
      <c r="AA662" s="1"/>
      <c r="AB662" s="1"/>
      <c r="AC662" s="146"/>
      <c r="AD662" s="146"/>
      <c r="AE662" s="146"/>
      <c r="AF662" s="146"/>
      <c r="AG662" s="146"/>
      <c r="AH662" s="146"/>
      <c r="AI662" s="146"/>
      <c r="AJ662" s="146"/>
      <c r="AK662" s="146"/>
      <c r="AL662" s="146"/>
      <c r="AM662" s="146"/>
      <c r="AN662" s="146"/>
    </row>
    <row r="663" spans="2:40" x14ac:dyDescent="0.25">
      <c r="B663" s="1052" t="s">
        <v>5</v>
      </c>
      <c r="C663" s="884" t="s">
        <v>70</v>
      </c>
      <c r="D663" s="868"/>
      <c r="E663" s="1082"/>
      <c r="F663" s="1083"/>
      <c r="G663" s="868"/>
      <c r="H663" s="869"/>
      <c r="K663" s="1052" t="s">
        <v>5</v>
      </c>
      <c r="L663" s="884" t="s">
        <v>70</v>
      </c>
      <c r="M663" s="868"/>
      <c r="N663" s="1082"/>
      <c r="O663" s="1083"/>
      <c r="P663" s="868"/>
      <c r="Q663" s="869"/>
      <c r="T663" s="1098" t="s">
        <v>5</v>
      </c>
      <c r="U663" s="884" t="s">
        <v>70</v>
      </c>
      <c r="V663" s="868"/>
      <c r="W663" s="1082"/>
      <c r="X663" s="1082"/>
      <c r="Y663" s="1083"/>
      <c r="Z663" s="868"/>
      <c r="AA663" s="868"/>
      <c r="AB663" s="869"/>
      <c r="AC663" s="146"/>
      <c r="AD663" s="146"/>
      <c r="AE663" s="146"/>
      <c r="AF663" s="146"/>
      <c r="AG663" s="146"/>
      <c r="AH663" s="146"/>
      <c r="AI663" s="146"/>
      <c r="AJ663" s="146"/>
      <c r="AK663" s="146"/>
      <c r="AL663" s="146"/>
      <c r="AM663" s="146"/>
      <c r="AN663" s="146"/>
    </row>
    <row r="664" spans="2:40" x14ac:dyDescent="0.25">
      <c r="B664" s="1053"/>
      <c r="C664" s="1052" t="s">
        <v>71</v>
      </c>
      <c r="D664" s="1065" t="s">
        <v>133</v>
      </c>
      <c r="E664" s="1085" t="s">
        <v>102</v>
      </c>
      <c r="F664" s="1086"/>
      <c r="G664" s="85" t="s">
        <v>3</v>
      </c>
      <c r="H664" s="23" t="s">
        <v>4</v>
      </c>
      <c r="K664" s="1053"/>
      <c r="L664" s="5" t="s">
        <v>71</v>
      </c>
      <c r="M664" s="1065" t="s">
        <v>133</v>
      </c>
      <c r="N664" s="1085" t="s">
        <v>102</v>
      </c>
      <c r="O664" s="1086"/>
      <c r="P664" s="85" t="s">
        <v>3</v>
      </c>
      <c r="Q664" s="23" t="s">
        <v>4</v>
      </c>
      <c r="T664" s="1099"/>
      <c r="U664" s="1052" t="s">
        <v>71</v>
      </c>
      <c r="V664" s="1065" t="s">
        <v>133</v>
      </c>
      <c r="W664" s="1085" t="s">
        <v>102</v>
      </c>
      <c r="X664" s="1086"/>
      <c r="Y664" s="1085" t="s">
        <v>3</v>
      </c>
      <c r="Z664" s="1101"/>
      <c r="AA664" s="1102" t="s">
        <v>4</v>
      </c>
      <c r="AB664" s="1102"/>
      <c r="AC664" s="146"/>
      <c r="AD664" s="146"/>
      <c r="AE664" s="146"/>
      <c r="AF664" s="146"/>
      <c r="AG664" s="146"/>
      <c r="AH664" s="146"/>
      <c r="AI664" s="146"/>
      <c r="AJ664" s="146"/>
      <c r="AK664" s="146"/>
      <c r="AL664" s="146"/>
      <c r="AM664" s="146"/>
      <c r="AN664" s="146"/>
    </row>
    <row r="665" spans="2:40" x14ac:dyDescent="0.25">
      <c r="B665" s="1054"/>
      <c r="C665" s="1054"/>
      <c r="D665" s="1084"/>
      <c r="E665" s="1087"/>
      <c r="F665" s="1088"/>
      <c r="G665" s="26" t="s">
        <v>7</v>
      </c>
      <c r="H665" s="24" t="s">
        <v>7</v>
      </c>
      <c r="K665" s="1054"/>
      <c r="L665" s="8"/>
      <c r="M665" s="1084"/>
      <c r="N665" s="1087"/>
      <c r="O665" s="1088"/>
      <c r="P665" s="26" t="s">
        <v>7</v>
      </c>
      <c r="Q665" s="24" t="s">
        <v>7</v>
      </c>
      <c r="T665" s="1100"/>
      <c r="U665" s="1054"/>
      <c r="V665" s="1084"/>
      <c r="W665" s="1087"/>
      <c r="X665" s="1088"/>
      <c r="Y665" s="37" t="s">
        <v>148</v>
      </c>
      <c r="Z665" s="37" t="s">
        <v>7</v>
      </c>
      <c r="AA665" s="37" t="s">
        <v>148</v>
      </c>
      <c r="AB665" s="37" t="s">
        <v>7</v>
      </c>
      <c r="AC665" s="146"/>
      <c r="AD665" s="146"/>
      <c r="AE665" s="146"/>
      <c r="AF665" s="146"/>
      <c r="AG665" s="146"/>
      <c r="AH665" s="146"/>
      <c r="AI665" s="146"/>
      <c r="AJ665" s="146"/>
      <c r="AK665" s="146"/>
      <c r="AL665" s="146"/>
      <c r="AM665" s="146"/>
      <c r="AN665" s="146"/>
    </row>
    <row r="666" spans="2:40" x14ac:dyDescent="0.25">
      <c r="B666" s="11">
        <v>1</v>
      </c>
      <c r="C666" s="11">
        <v>2</v>
      </c>
      <c r="D666" s="11" t="s">
        <v>95</v>
      </c>
      <c r="E666" s="873" t="s">
        <v>99</v>
      </c>
      <c r="F666" s="874"/>
      <c r="G666" s="11" t="s">
        <v>100</v>
      </c>
      <c r="H666" s="22" t="s">
        <v>101</v>
      </c>
      <c r="K666" s="11">
        <v>1</v>
      </c>
      <c r="L666" s="11">
        <v>2</v>
      </c>
      <c r="M666" s="11" t="s">
        <v>95</v>
      </c>
      <c r="N666" s="873" t="s">
        <v>99</v>
      </c>
      <c r="O666" s="874"/>
      <c r="P666" s="11" t="s">
        <v>100</v>
      </c>
      <c r="Q666" s="22" t="s">
        <v>101</v>
      </c>
      <c r="T666" s="11">
        <v>1</v>
      </c>
      <c r="U666" s="11">
        <v>2</v>
      </c>
      <c r="V666" s="11" t="s">
        <v>95</v>
      </c>
      <c r="W666" s="1096" t="s">
        <v>99</v>
      </c>
      <c r="X666" s="1097"/>
      <c r="Y666" s="11" t="s">
        <v>153</v>
      </c>
      <c r="Z666" s="11" t="s">
        <v>100</v>
      </c>
      <c r="AA666" s="11" t="s">
        <v>152</v>
      </c>
      <c r="AB666" s="22" t="s">
        <v>101</v>
      </c>
      <c r="AC666" s="146"/>
      <c r="AD666" s="146"/>
      <c r="AE666" s="146"/>
      <c r="AF666" s="146"/>
      <c r="AG666" s="146"/>
      <c r="AH666" s="146"/>
      <c r="AI666" s="146"/>
      <c r="AJ666" s="146"/>
      <c r="AK666" s="146"/>
      <c r="AL666" s="146"/>
      <c r="AM666" s="146"/>
      <c r="AN666" s="146"/>
    </row>
    <row r="667" spans="2:40" ht="14.45" customHeight="1" x14ac:dyDescent="0.25">
      <c r="B667" s="12" t="s">
        <v>72</v>
      </c>
      <c r="C667" s="13" t="s">
        <v>104</v>
      </c>
      <c r="D667" s="13" t="s">
        <v>73</v>
      </c>
      <c r="E667" s="875" t="s">
        <v>403</v>
      </c>
      <c r="F667" s="1048"/>
      <c r="G667" s="137">
        <f>IF(F654=0,IF(F660&lt;&gt;0,F650/F660,0),F650/F654)</f>
        <v>0</v>
      </c>
      <c r="H667" s="138">
        <f>IF((H656+H658)=0,IF(H661&lt;&gt;0,H650/H661,0),H650/(H656+H658))</f>
        <v>0</v>
      </c>
      <c r="K667" s="12" t="s">
        <v>72</v>
      </c>
      <c r="L667" s="13" t="s">
        <v>104</v>
      </c>
      <c r="M667" s="13" t="s">
        <v>73</v>
      </c>
      <c r="N667" s="875" t="s">
        <v>403</v>
      </c>
      <c r="O667" s="1048"/>
      <c r="P667" s="137">
        <f>IF(O654=0,IF(O660&lt;&gt;0,O650/O660,0),O650/O654)</f>
        <v>0</v>
      </c>
      <c r="Q667" s="138">
        <f>IF((Q656+Q658)=0,IF(Q661&lt;&gt;0,Q650/Q661,0),Q650/(Q656+Q658))</f>
        <v>0</v>
      </c>
      <c r="T667" s="12" t="s">
        <v>72</v>
      </c>
      <c r="U667" s="13" t="s">
        <v>104</v>
      </c>
      <c r="V667" s="13" t="s">
        <v>73</v>
      </c>
      <c r="W667" s="875" t="s">
        <v>403</v>
      </c>
      <c r="X667" s="1048"/>
      <c r="Y667" s="137">
        <f>IF(W654=0,IF(W660&lt;&gt;0,W650/W660,0),W650/W654)</f>
        <v>0</v>
      </c>
      <c r="Z667" s="137">
        <f>IF(X654=0,IF(X660&lt;&gt;0,X650/X660,0),X650/X654)</f>
        <v>0</v>
      </c>
      <c r="AA667" s="137">
        <f>IF((Z656+Z658)=0,IF(Z661&lt;&gt;0,Z650/Z661,0),Z650/(Z656+Z658))</f>
        <v>0</v>
      </c>
      <c r="AB667" s="138">
        <f>IF((AA656+AA658)=0,IF(AA661&lt;&gt;0,AA650/AA661,0),AA650/(AA656+AA658))</f>
        <v>0</v>
      </c>
      <c r="AC667" s="146"/>
      <c r="AD667" s="146"/>
      <c r="AE667" s="146"/>
      <c r="AF667" s="146"/>
      <c r="AG667" s="146"/>
      <c r="AH667" s="146"/>
      <c r="AI667" s="146"/>
      <c r="AJ667" s="146"/>
      <c r="AK667" s="146"/>
      <c r="AL667" s="146"/>
      <c r="AM667" s="146"/>
      <c r="AN667" s="146"/>
    </row>
    <row r="668" spans="2:40" x14ac:dyDescent="0.25">
      <c r="B668" s="12" t="s">
        <v>74</v>
      </c>
      <c r="C668" s="13" t="s">
        <v>358</v>
      </c>
      <c r="D668" s="13" t="s">
        <v>10</v>
      </c>
      <c r="E668" s="858" t="s">
        <v>404</v>
      </c>
      <c r="F668" s="870"/>
      <c r="G668" s="340">
        <f>G669+G670</f>
        <v>0</v>
      </c>
      <c r="H668" s="341">
        <f>H669+H670</f>
        <v>0</v>
      </c>
      <c r="K668" s="12" t="s">
        <v>74</v>
      </c>
      <c r="L668" s="13" t="s">
        <v>358</v>
      </c>
      <c r="M668" s="13" t="s">
        <v>10</v>
      </c>
      <c r="N668" s="858" t="s">
        <v>404</v>
      </c>
      <c r="O668" s="870"/>
      <c r="P668" s="340">
        <f>P669+P670</f>
        <v>0</v>
      </c>
      <c r="Q668" s="341">
        <f>Q669+Q670</f>
        <v>0</v>
      </c>
      <c r="T668" s="12" t="s">
        <v>74</v>
      </c>
      <c r="U668" s="13" t="s">
        <v>358</v>
      </c>
      <c r="V668" s="13" t="s">
        <v>10</v>
      </c>
      <c r="W668" s="858" t="s">
        <v>404</v>
      </c>
      <c r="X668" s="870"/>
      <c r="Y668" s="340">
        <f>Y669+Y670</f>
        <v>0</v>
      </c>
      <c r="Z668" s="340">
        <f>Z669+Z670</f>
        <v>0</v>
      </c>
      <c r="AA668" s="340">
        <f>AA669+AA670</f>
        <v>0</v>
      </c>
      <c r="AB668" s="341">
        <f>AB669+AB670</f>
        <v>0</v>
      </c>
      <c r="AC668" s="146"/>
      <c r="AD668" s="146"/>
      <c r="AE668" s="146"/>
      <c r="AF668" s="146"/>
      <c r="AG668" s="146"/>
      <c r="AH668" s="146"/>
      <c r="AI668" s="146"/>
      <c r="AJ668" s="146"/>
      <c r="AK668" s="146"/>
      <c r="AL668" s="146"/>
      <c r="AM668" s="146"/>
      <c r="AN668" s="146"/>
    </row>
    <row r="669" spans="2:40" x14ac:dyDescent="0.25">
      <c r="B669" s="12" t="s">
        <v>352</v>
      </c>
      <c r="C669" s="13" t="s">
        <v>359</v>
      </c>
      <c r="D669" s="13" t="s">
        <v>10</v>
      </c>
      <c r="E669" s="871"/>
      <c r="F669" s="872"/>
      <c r="G669" s="340">
        <f>IF(YEAR(Postup!$H$25)&gt;$D609,Provozování!AX$84,IF(AND(DAY(Postup!$H$25)=31,MONTH(Postup!$H$25)=12,YEAR(Postup!$H$25)=$D609),Provozování!AX$84,IF(YEAR(Postup!$H$25)=$D609,Provozování!$BL$84,0)))</f>
        <v>0</v>
      </c>
      <c r="H669" s="341">
        <f>IF(YEAR(Postup!$H$25)&gt;$D609,Provozování!AX$84,IF(AND(DAY(Postup!$H$25)=31,MONTH(Postup!$H$25)=12,YEAR(Postup!$H$25)=$D609),Provozování!AX$84,IF(YEAR(Postup!$H$25)=$D609,Provozování!$BM$84,0)))</f>
        <v>0</v>
      </c>
      <c r="K669" s="12" t="s">
        <v>352</v>
      </c>
      <c r="L669" s="13" t="s">
        <v>359</v>
      </c>
      <c r="M669" s="13" t="s">
        <v>10</v>
      </c>
      <c r="N669" s="871"/>
      <c r="O669" s="872"/>
      <c r="P669" s="340">
        <f>IF(Provozování!$AX$16="Neaktivní",0,Provozování!AX$84)</f>
        <v>0</v>
      </c>
      <c r="Q669" s="341">
        <f>IF(Provozování!AX$16="Neaktivní",0,Provozování!AY$84)</f>
        <v>0</v>
      </c>
      <c r="T669" s="12" t="s">
        <v>352</v>
      </c>
      <c r="U669" s="13" t="s">
        <v>359</v>
      </c>
      <c r="V669" s="13" t="s">
        <v>10</v>
      </c>
      <c r="W669" s="871"/>
      <c r="X669" s="872"/>
      <c r="Y669" s="340">
        <f>Z669</f>
        <v>0</v>
      </c>
      <c r="Z669" s="340">
        <f>IF(Provozování!$AX$16="Neaktivní",G669,P669)</f>
        <v>0</v>
      </c>
      <c r="AA669" s="340">
        <f>AB669</f>
        <v>0</v>
      </c>
      <c r="AB669" s="341">
        <f>IF(Provozování!$AX$16="Neaktivní",H669,Q669)</f>
        <v>0</v>
      </c>
      <c r="AC669" s="146"/>
      <c r="AD669" s="146"/>
      <c r="AE669" s="146"/>
      <c r="AF669" s="146"/>
      <c r="AG669" s="146"/>
      <c r="AH669" s="146"/>
      <c r="AI669" s="146"/>
      <c r="AJ669" s="146"/>
      <c r="AK669" s="146"/>
      <c r="AL669" s="146"/>
      <c r="AM669" s="146"/>
      <c r="AN669" s="146"/>
    </row>
    <row r="670" spans="2:40" x14ac:dyDescent="0.25">
      <c r="B670" s="12" t="s">
        <v>361</v>
      </c>
      <c r="C670" s="13" t="s">
        <v>360</v>
      </c>
      <c r="D670" s="13" t="s">
        <v>10</v>
      </c>
      <c r="E670" s="884"/>
      <c r="F670" s="869"/>
      <c r="G670" s="340">
        <f>IF(YEAR(Postup!$H$25)&gt;$D$612,((-1)*(Provozování!AX102)),IF(AND(DAY(Postup!$H$25)=31,MONTH(Postup!$H$25)=12,YEAR(Postup!$H$25)=$D$612),((-1)*(Provozování!AX102)),IF(YEAR(Postup!$H$25)=$D$612,((-1)*(Provozování!AX102)),0)))</f>
        <v>0</v>
      </c>
      <c r="H670" s="341">
        <f>IF(YEAR(Postup!$H$25)&gt;$D$612,((-1)*(Provozování!AY102)),IF(AND(DAY(Postup!$H$25)=31,MONTH(Postup!$H$25)=12,YEAR(Postup!$H$25)=$D$612),((-1)*(Provozování!AY102)),IF(YEAR(Postup!$H$25)=$D$612,((-1)*(Provozování!AY102)),0)))</f>
        <v>0</v>
      </c>
      <c r="K670" s="12" t="s">
        <v>361</v>
      </c>
      <c r="L670" s="13" t="s">
        <v>360</v>
      </c>
      <c r="M670" s="13" t="s">
        <v>10</v>
      </c>
      <c r="N670" s="884"/>
      <c r="O670" s="869"/>
      <c r="P670" s="340">
        <f>IF(Provozování!$AZ$16="Neaktivní",0,((-1)*(Provozování!AX102)))</f>
        <v>0</v>
      </c>
      <c r="Q670" s="341">
        <f>IF(Provozování!$AZ$16="Neaktivní",0,((-1)*(Provozování!AY102)))</f>
        <v>0</v>
      </c>
      <c r="T670" s="12" t="s">
        <v>361</v>
      </c>
      <c r="U670" s="13" t="s">
        <v>360</v>
      </c>
      <c r="V670" s="13" t="s">
        <v>10</v>
      </c>
      <c r="W670" s="884"/>
      <c r="X670" s="869"/>
      <c r="Y670" s="340">
        <f>Z670</f>
        <v>0</v>
      </c>
      <c r="Z670" s="340">
        <f>IF(Provozování!$AZ$16="Neaktivní",G670,P670)</f>
        <v>0</v>
      </c>
      <c r="AA670" s="340">
        <f>AB670</f>
        <v>0</v>
      </c>
      <c r="AB670" s="341">
        <f>IF(Provozování!$AZ$16="Neaktivní",H670,Q670)</f>
        <v>0</v>
      </c>
      <c r="AC670" s="146"/>
      <c r="AD670" s="146"/>
      <c r="AE670" s="146"/>
      <c r="AF670" s="146"/>
      <c r="AG670" s="146"/>
      <c r="AH670" s="146"/>
      <c r="AI670" s="146"/>
      <c r="AJ670" s="146"/>
      <c r="AK670" s="146"/>
      <c r="AL670" s="146"/>
      <c r="AM670" s="146"/>
      <c r="AN670" s="146"/>
    </row>
    <row r="671" spans="2:40" x14ac:dyDescent="0.25">
      <c r="B671" s="12" t="s">
        <v>75</v>
      </c>
      <c r="C671" s="13" t="s">
        <v>396</v>
      </c>
      <c r="D671" s="13" t="s">
        <v>10</v>
      </c>
      <c r="E671" s="858" t="s">
        <v>405</v>
      </c>
      <c r="F671" s="870"/>
      <c r="G671" s="340">
        <f>F650+G668</f>
        <v>0</v>
      </c>
      <c r="H671" s="341">
        <f>H650+H668</f>
        <v>0</v>
      </c>
      <c r="K671" s="12" t="s">
        <v>75</v>
      </c>
      <c r="L671" s="13" t="s">
        <v>396</v>
      </c>
      <c r="M671" s="13" t="s">
        <v>10</v>
      </c>
      <c r="N671" s="858" t="s">
        <v>405</v>
      </c>
      <c r="O671" s="870"/>
      <c r="P671" s="340">
        <f>O650+P668</f>
        <v>0</v>
      </c>
      <c r="Q671" s="341">
        <f>Q650+Q668</f>
        <v>0</v>
      </c>
      <c r="T671" s="12" t="s">
        <v>75</v>
      </c>
      <c r="U671" s="13" t="s">
        <v>396</v>
      </c>
      <c r="V671" s="13" t="s">
        <v>10</v>
      </c>
      <c r="W671" s="858" t="s">
        <v>405</v>
      </c>
      <c r="X671" s="870"/>
      <c r="Y671" s="14">
        <f>W650+Y668</f>
        <v>0</v>
      </c>
      <c r="Z671" s="14">
        <f>X650+Z668</f>
        <v>0</v>
      </c>
      <c r="AA671" s="14">
        <f>Z650+AA668</f>
        <v>0</v>
      </c>
      <c r="AB671" s="15">
        <f>AA650+AB668</f>
        <v>0</v>
      </c>
      <c r="AC671" s="146"/>
      <c r="AD671" s="146"/>
      <c r="AE671" s="146"/>
      <c r="AF671" s="146"/>
      <c r="AG671" s="146"/>
      <c r="AH671" s="146"/>
      <c r="AI671" s="146"/>
      <c r="AJ671" s="146"/>
      <c r="AK671" s="146"/>
      <c r="AL671" s="146"/>
      <c r="AM671" s="146"/>
      <c r="AN671" s="146"/>
    </row>
    <row r="672" spans="2:40" x14ac:dyDescent="0.25">
      <c r="B672" s="12" t="s">
        <v>76</v>
      </c>
      <c r="C672" s="13" t="s">
        <v>373</v>
      </c>
      <c r="D672" s="13" t="s">
        <v>10</v>
      </c>
      <c r="E672" s="858"/>
      <c r="F672" s="859"/>
      <c r="G672" s="340">
        <f>IF(YEAR(Postup!$H$25)&gt;$D612,Provozování!AX$87,IF(AND(DAY(Postup!$H$25)=31,MONTH(Postup!$H$25)=12,YEAR(Postup!$H$25)=$D612),Provozování!AX$87,IF(YEAR(Postup!$H$25)=$D612,Provozování!$BL$87,0)))</f>
        <v>0</v>
      </c>
      <c r="H672" s="341">
        <f>IF(YEAR(Postup!$H$25)&gt;$D612,Provozování!AX$87,IF(AND(DAY(Postup!$H$25)=31,MONTH(Postup!$H$25)=12,YEAR(Postup!$H$25)=$D612),Provozování!AX$87,IF(YEAR(Postup!$H$25)=$D612,Provozování!$BM$87,0)))</f>
        <v>0</v>
      </c>
      <c r="K672" s="12" t="s">
        <v>76</v>
      </c>
      <c r="L672" s="13" t="s">
        <v>373</v>
      </c>
      <c r="M672" s="13" t="s">
        <v>10</v>
      </c>
      <c r="N672" s="858"/>
      <c r="O672" s="859"/>
      <c r="P672" s="340">
        <f>IF(Provozování!$AX$16="Neaktivní",0,Provozování!AX$87)</f>
        <v>2.3999896640999999E-2</v>
      </c>
      <c r="Q672" s="341">
        <f>IF(Provozování!AX$16="Neaktivní",0,Provozování!AY$87)</f>
        <v>0.100000278</v>
      </c>
      <c r="T672" s="12" t="s">
        <v>76</v>
      </c>
      <c r="U672" s="13" t="s">
        <v>373</v>
      </c>
      <c r="V672" s="13" t="s">
        <v>10</v>
      </c>
      <c r="W672" s="858"/>
      <c r="X672" s="859"/>
      <c r="Y672" s="462">
        <f>IF(Provozování!AZ16="Aktivní",Provozování!AZ87,Provozování!AX87)</f>
        <v>2.3999896640999999E-2</v>
      </c>
      <c r="Z672" s="14">
        <f>IF(Provozování!$AX$16="Neaktivní",G672,P672)</f>
        <v>2.3999896640999999E-2</v>
      </c>
      <c r="AA672" s="462">
        <f>IF(Provozování!AZ16="Aktivní",Provozování!BA87,Provozování!AY87)</f>
        <v>0.100000278</v>
      </c>
      <c r="AB672" s="15">
        <f>IF(Provozování!$AX$16="Neaktivní",H672,Q672)</f>
        <v>0.100000278</v>
      </c>
      <c r="AC672" s="146"/>
      <c r="AD672" s="146"/>
      <c r="AE672" s="146"/>
      <c r="AF672" s="146"/>
      <c r="AG672" s="146"/>
      <c r="AH672" s="146"/>
      <c r="AI672" s="146"/>
      <c r="AJ672" s="146"/>
      <c r="AK672" s="146"/>
      <c r="AL672" s="146"/>
      <c r="AM672" s="146"/>
      <c r="AN672" s="146"/>
    </row>
    <row r="673" spans="1:40" ht="14.45" customHeight="1" x14ac:dyDescent="0.25">
      <c r="B673" s="12" t="s">
        <v>78</v>
      </c>
      <c r="C673" s="21" t="s">
        <v>402</v>
      </c>
      <c r="D673" s="13" t="s">
        <v>77</v>
      </c>
      <c r="E673" s="875" t="s">
        <v>406</v>
      </c>
      <c r="F673" s="1048"/>
      <c r="G673" s="137">
        <f>IF(G671=0,0,G672/G671*100)</f>
        <v>0</v>
      </c>
      <c r="H673" s="138">
        <f>IF(H671=0,0,H672/H671*100)</f>
        <v>0</v>
      </c>
      <c r="K673" s="12" t="s">
        <v>78</v>
      </c>
      <c r="L673" s="21" t="s">
        <v>402</v>
      </c>
      <c r="M673" s="13" t="s">
        <v>77</v>
      </c>
      <c r="N673" s="875" t="s">
        <v>406</v>
      </c>
      <c r="O673" s="1048"/>
      <c r="P673" s="137">
        <f>IF(P671=0,0,P672/P671*100)</f>
        <v>0</v>
      </c>
      <c r="Q673" s="138">
        <f>IF(Q671=0,0,Q672/Q671*100)</f>
        <v>0</v>
      </c>
      <c r="T673" s="12" t="s">
        <v>78</v>
      </c>
      <c r="U673" s="21" t="s">
        <v>402</v>
      </c>
      <c r="V673" s="13" t="s">
        <v>77</v>
      </c>
      <c r="W673" s="875" t="s">
        <v>406</v>
      </c>
      <c r="X673" s="1048"/>
      <c r="Y673" s="137">
        <f>IF(Y671=0,0,Y672/Y671*100)</f>
        <v>0</v>
      </c>
      <c r="Z673" s="137">
        <f>IF(Z671=0,0,Z672/Z671*100)</f>
        <v>0</v>
      </c>
      <c r="AA673" s="137">
        <f>IF(AA671=0,0,AA672/AA671*100)</f>
        <v>0</v>
      </c>
      <c r="AB673" s="138">
        <f>IF(AB671=0,0,AB672/AB671*100)</f>
        <v>0</v>
      </c>
      <c r="AC673" s="146"/>
      <c r="AD673" s="146"/>
      <c r="AE673" s="146"/>
      <c r="AF673" s="146"/>
      <c r="AG673" s="146"/>
      <c r="AH673" s="146"/>
      <c r="AI673" s="146"/>
      <c r="AJ673" s="146"/>
      <c r="AK673" s="146"/>
      <c r="AL673" s="146"/>
      <c r="AM673" s="146"/>
      <c r="AN673" s="146"/>
    </row>
    <row r="674" spans="1:40" x14ac:dyDescent="0.25">
      <c r="B674" s="12" t="s">
        <v>79</v>
      </c>
      <c r="C674" s="21" t="s">
        <v>408</v>
      </c>
      <c r="D674" s="13" t="s">
        <v>10</v>
      </c>
      <c r="E674" s="858" t="s">
        <v>407</v>
      </c>
      <c r="F674" s="870"/>
      <c r="G674" s="310">
        <v>0</v>
      </c>
      <c r="H674" s="111">
        <v>0</v>
      </c>
      <c r="K674" s="12" t="s">
        <v>79</v>
      </c>
      <c r="L674" s="21" t="s">
        <v>408</v>
      </c>
      <c r="M674" s="13" t="s">
        <v>10</v>
      </c>
      <c r="N674" s="858" t="s">
        <v>407</v>
      </c>
      <c r="O674" s="870"/>
      <c r="P674" s="310">
        <v>0</v>
      </c>
      <c r="Q674" s="111">
        <v>0</v>
      </c>
      <c r="T674" s="12" t="s">
        <v>79</v>
      </c>
      <c r="U674" s="21" t="s">
        <v>408</v>
      </c>
      <c r="V674" s="13" t="s">
        <v>10</v>
      </c>
      <c r="W674" s="858" t="s">
        <v>407</v>
      </c>
      <c r="X674" s="870"/>
      <c r="Y674" s="337">
        <v>0</v>
      </c>
      <c r="Z674" s="337">
        <v>0</v>
      </c>
      <c r="AA674" s="337">
        <v>0</v>
      </c>
      <c r="AB674" s="334">
        <v>0</v>
      </c>
      <c r="AC674" s="146"/>
      <c r="AD674" s="146"/>
      <c r="AE674" s="146"/>
      <c r="AF674" s="146"/>
      <c r="AG674" s="146"/>
      <c r="AH674" s="146"/>
      <c r="AI674" s="146"/>
      <c r="AJ674" s="146"/>
      <c r="AK674" s="146"/>
      <c r="AL674" s="146"/>
      <c r="AM674" s="146"/>
      <c r="AN674" s="146"/>
    </row>
    <row r="675" spans="1:40" x14ac:dyDescent="0.25">
      <c r="B675" s="12" t="s">
        <v>80</v>
      </c>
      <c r="C675" s="497" t="s">
        <v>354</v>
      </c>
      <c r="D675" s="13"/>
      <c r="E675" s="858" t="s">
        <v>409</v>
      </c>
      <c r="F675" s="870"/>
      <c r="G675" s="310">
        <f>G672-G674</f>
        <v>0</v>
      </c>
      <c r="H675" s="111">
        <f>H672-H674</f>
        <v>0</v>
      </c>
      <c r="K675" s="12" t="s">
        <v>80</v>
      </c>
      <c r="L675" s="497" t="s">
        <v>354</v>
      </c>
      <c r="M675" s="13"/>
      <c r="N675" s="858" t="s">
        <v>409</v>
      </c>
      <c r="O675" s="870"/>
      <c r="P675" s="310">
        <f>P672-P674</f>
        <v>2.3999896640999999E-2</v>
      </c>
      <c r="Q675" s="111">
        <f>Q672-Q674</f>
        <v>0.100000278</v>
      </c>
      <c r="T675" s="12" t="s">
        <v>80</v>
      </c>
      <c r="U675" s="497" t="s">
        <v>354</v>
      </c>
      <c r="V675" s="13"/>
      <c r="W675" s="858" t="s">
        <v>409</v>
      </c>
      <c r="X675" s="870"/>
      <c r="Y675" s="337">
        <f>Y672-Y674</f>
        <v>2.3999896640999999E-2</v>
      </c>
      <c r="Z675" s="337">
        <f>Z672-Z674</f>
        <v>2.3999896640999999E-2</v>
      </c>
      <c r="AA675" s="337">
        <f>AA672-AA674</f>
        <v>0.100000278</v>
      </c>
      <c r="AB675" s="334">
        <f>AB672-AB674</f>
        <v>0.100000278</v>
      </c>
      <c r="AC675" s="146"/>
      <c r="AD675" s="146"/>
      <c r="AE675" s="146"/>
      <c r="AF675" s="146"/>
      <c r="AG675" s="146"/>
      <c r="AH675" s="146"/>
      <c r="AI675" s="146"/>
      <c r="AJ675" s="146"/>
      <c r="AK675" s="146"/>
      <c r="AL675" s="146"/>
      <c r="AM675" s="146"/>
      <c r="AN675" s="146"/>
    </row>
    <row r="676" spans="1:40" x14ac:dyDescent="0.25">
      <c r="B676" s="12" t="s">
        <v>82</v>
      </c>
      <c r="C676" s="13" t="s">
        <v>395</v>
      </c>
      <c r="D676" s="13" t="s">
        <v>10</v>
      </c>
      <c r="E676" s="858" t="s">
        <v>410</v>
      </c>
      <c r="F676" s="870"/>
      <c r="G676" s="340">
        <f>G671+G672</f>
        <v>0</v>
      </c>
      <c r="H676" s="341">
        <f>H671+H672</f>
        <v>0</v>
      </c>
      <c r="K676" s="12" t="s">
        <v>82</v>
      </c>
      <c r="L676" s="13" t="s">
        <v>395</v>
      </c>
      <c r="M676" s="13" t="s">
        <v>10</v>
      </c>
      <c r="N676" s="858" t="s">
        <v>410</v>
      </c>
      <c r="O676" s="870"/>
      <c r="P676" s="340">
        <f>P671+P672</f>
        <v>2.3999896640999999E-2</v>
      </c>
      <c r="Q676" s="341">
        <f>Q671+Q672</f>
        <v>0.100000278</v>
      </c>
      <c r="T676" s="12" t="s">
        <v>82</v>
      </c>
      <c r="U676" s="13" t="s">
        <v>395</v>
      </c>
      <c r="V676" s="13" t="s">
        <v>10</v>
      </c>
      <c r="W676" s="858" t="s">
        <v>410</v>
      </c>
      <c r="X676" s="870"/>
      <c r="Y676" s="340">
        <f>Y671+Y672</f>
        <v>2.3999896640999999E-2</v>
      </c>
      <c r="Z676" s="340">
        <f>Z671+Z672</f>
        <v>2.3999896640999999E-2</v>
      </c>
      <c r="AA676" s="340">
        <f>AA671+AA672</f>
        <v>0.100000278</v>
      </c>
      <c r="AB676" s="341">
        <f>AB671+AB672</f>
        <v>0.100000278</v>
      </c>
      <c r="AC676" s="146"/>
      <c r="AD676" s="146"/>
      <c r="AE676" s="146"/>
      <c r="AF676" s="146"/>
      <c r="AG676" s="146"/>
      <c r="AH676" s="146"/>
      <c r="AI676" s="146"/>
      <c r="AJ676" s="146"/>
      <c r="AK676" s="146"/>
      <c r="AL676" s="146"/>
      <c r="AM676" s="146"/>
      <c r="AN676" s="146"/>
    </row>
    <row r="677" spans="1:40" x14ac:dyDescent="0.25">
      <c r="B677" s="12" t="s">
        <v>83</v>
      </c>
      <c r="C677" s="13" t="s">
        <v>81</v>
      </c>
      <c r="D677" s="13" t="s">
        <v>58</v>
      </c>
      <c r="E677" s="858" t="s">
        <v>411</v>
      </c>
      <c r="F677" s="870"/>
      <c r="G677" s="340">
        <f>IF(F654=0,F660,F654)</f>
        <v>0</v>
      </c>
      <c r="H677" s="341">
        <f>IF(H656+H658=0,H661,H656+H658)</f>
        <v>0</v>
      </c>
      <c r="K677" s="12" t="s">
        <v>83</v>
      </c>
      <c r="L677" s="13" t="s">
        <v>81</v>
      </c>
      <c r="M677" s="13" t="s">
        <v>58</v>
      </c>
      <c r="N677" s="858" t="s">
        <v>411</v>
      </c>
      <c r="O677" s="870"/>
      <c r="P677" s="340">
        <f>IF(O654=0,O660,O654)</f>
        <v>0</v>
      </c>
      <c r="Q677" s="341">
        <f>IF(Q656+Q658=0,Q661,Q656+Q658)</f>
        <v>0</v>
      </c>
      <c r="T677" s="12" t="s">
        <v>83</v>
      </c>
      <c r="U677" s="13" t="s">
        <v>81</v>
      </c>
      <c r="V677" s="13" t="s">
        <v>58</v>
      </c>
      <c r="W677" s="858" t="s">
        <v>411</v>
      </c>
      <c r="X677" s="870"/>
      <c r="Y677" s="14">
        <f>IF(W654=0,W660,W654)</f>
        <v>0</v>
      </c>
      <c r="Z677" s="14">
        <f>IF(X654=0,X660,X654)</f>
        <v>0</v>
      </c>
      <c r="AA677" s="14">
        <f>IF(Z656+Z658=0,Z661,Z656+Z658)</f>
        <v>0</v>
      </c>
      <c r="AB677" s="15">
        <f>IF(AA656+AA658=0,AA661,AA656+AA658)</f>
        <v>0</v>
      </c>
      <c r="AC677" s="146"/>
      <c r="AD677" s="146"/>
      <c r="AE677" s="146"/>
      <c r="AF677" s="146"/>
      <c r="AG677" s="146"/>
      <c r="AH677" s="146"/>
      <c r="AI677" s="146"/>
      <c r="AJ677" s="146"/>
      <c r="AK677" s="146"/>
      <c r="AL677" s="146"/>
      <c r="AM677" s="146"/>
      <c r="AN677" s="146"/>
    </row>
    <row r="678" spans="1:40" x14ac:dyDescent="0.25">
      <c r="B678" s="12" t="s">
        <v>155</v>
      </c>
      <c r="C678" s="13" t="s">
        <v>393</v>
      </c>
      <c r="D678" s="13" t="s">
        <v>73</v>
      </c>
      <c r="E678" s="858" t="s">
        <v>412</v>
      </c>
      <c r="F678" s="870"/>
      <c r="G678" s="137">
        <f>IF(G677=0,0,G676/G677)</f>
        <v>0</v>
      </c>
      <c r="H678" s="138">
        <f>IF(H677=0,0,H676/H677)</f>
        <v>0</v>
      </c>
      <c r="K678" s="12" t="s">
        <v>155</v>
      </c>
      <c r="L678" s="13" t="s">
        <v>393</v>
      </c>
      <c r="M678" s="13" t="s">
        <v>73</v>
      </c>
      <c r="N678" s="858" t="s">
        <v>412</v>
      </c>
      <c r="O678" s="870"/>
      <c r="P678" s="137">
        <f>IF(P677=0,0,P676/P677)</f>
        <v>0</v>
      </c>
      <c r="Q678" s="138">
        <f>IF(Q677=0,0,Q676/Q677)</f>
        <v>0</v>
      </c>
      <c r="T678" s="12" t="s">
        <v>155</v>
      </c>
      <c r="U678" s="13" t="s">
        <v>393</v>
      </c>
      <c r="V678" s="13" t="s">
        <v>73</v>
      </c>
      <c r="W678" s="858" t="s">
        <v>412</v>
      </c>
      <c r="X678" s="870"/>
      <c r="Y678" s="137">
        <f>IF(Y677=0,0,Y676/Y677)</f>
        <v>0</v>
      </c>
      <c r="Z678" s="137">
        <f>IF(Z677=0,0,Z676/Z677)</f>
        <v>0</v>
      </c>
      <c r="AA678" s="137">
        <f>IF(AA677=0,0,AA676/AA677)</f>
        <v>0</v>
      </c>
      <c r="AB678" s="138">
        <f>IF(AB677=0,0,AB676/AB677)</f>
        <v>0</v>
      </c>
      <c r="AC678" s="146"/>
      <c r="AD678" s="146"/>
      <c r="AE678" s="146"/>
      <c r="AF678" s="146"/>
      <c r="AG678" s="146"/>
      <c r="AH678" s="146"/>
      <c r="AI678" s="146"/>
      <c r="AJ678" s="146"/>
      <c r="AK678" s="146"/>
      <c r="AL678" s="146"/>
      <c r="AM678" s="146"/>
      <c r="AN678" s="146"/>
    </row>
    <row r="679" spans="1:40" x14ac:dyDescent="0.25">
      <c r="B679" s="210" t="s">
        <v>355</v>
      </c>
      <c r="C679" s="244" t="str">
        <f>CONCATENATE("UPLATŇOVANÁ CENA pro vodné, stočné +",Provozování!AX97*100,"% DPH")</f>
        <v>UPLATŇOVANÁ CENA pro vodné, stočné +10% DPH</v>
      </c>
      <c r="D679" s="244" t="s">
        <v>73</v>
      </c>
      <c r="E679" s="858" t="s">
        <v>413</v>
      </c>
      <c r="F679" s="870"/>
      <c r="G679" s="138">
        <f>G678*(1+Provozování!AX$97)</f>
        <v>0</v>
      </c>
      <c r="H679" s="138">
        <f>H678*(1+Provozování!AY$97)</f>
        <v>0</v>
      </c>
      <c r="K679" s="210" t="s">
        <v>355</v>
      </c>
      <c r="L679" s="244" t="str">
        <f>C679</f>
        <v>UPLATŇOVANÁ CENA pro vodné, stočné +10% DPH</v>
      </c>
      <c r="M679" s="244" t="s">
        <v>73</v>
      </c>
      <c r="N679" s="858" t="s">
        <v>413</v>
      </c>
      <c r="O679" s="870"/>
      <c r="P679" s="138">
        <f>P678*(1+Provozování!AX$97)</f>
        <v>0</v>
      </c>
      <c r="Q679" s="138">
        <f>Q678*(1+Provozování!AY$97)</f>
        <v>0</v>
      </c>
      <c r="T679" s="12" t="s">
        <v>355</v>
      </c>
      <c r="U679" s="13" t="str">
        <f>C679</f>
        <v>UPLATŇOVANÁ CENA pro vodné, stočné +10% DPH</v>
      </c>
      <c r="V679" s="13" t="s">
        <v>73</v>
      </c>
      <c r="W679" s="858" t="s">
        <v>413</v>
      </c>
      <c r="X679" s="870"/>
      <c r="Y679" s="137">
        <f>Y678*(1+Provozování!AX$97)</f>
        <v>0</v>
      </c>
      <c r="Z679" s="137">
        <f>Z678*(1+Provozování!AY$97)</f>
        <v>0</v>
      </c>
      <c r="AA679" s="137">
        <f>AA678*(1+Provozování!AX$97)</f>
        <v>0</v>
      </c>
      <c r="AB679" s="138">
        <f>AB678*(1+Provozování!AY$97)</f>
        <v>0</v>
      </c>
      <c r="AC679" s="146"/>
      <c r="AD679" s="146"/>
      <c r="AE679" s="146"/>
      <c r="AF679" s="146"/>
      <c r="AG679" s="146"/>
      <c r="AH679" s="146"/>
      <c r="AI679" s="146"/>
      <c r="AJ679" s="146"/>
      <c r="AK679" s="146"/>
      <c r="AL679" s="146"/>
      <c r="AM679" s="146"/>
      <c r="AN679" s="146"/>
    </row>
    <row r="680" spans="1:40" x14ac:dyDescent="0.25">
      <c r="B680" s="210" t="s">
        <v>356</v>
      </c>
      <c r="C680" s="244" t="s">
        <v>357</v>
      </c>
      <c r="D680" s="244" t="s">
        <v>73</v>
      </c>
      <c r="E680" s="884" t="s">
        <v>414</v>
      </c>
      <c r="F680" s="869"/>
      <c r="G680" s="138">
        <v>0</v>
      </c>
      <c r="H680" s="138">
        <v>0</v>
      </c>
      <c r="K680" s="210" t="s">
        <v>356</v>
      </c>
      <c r="L680" s="244" t="s">
        <v>357</v>
      </c>
      <c r="M680" s="244" t="s">
        <v>73</v>
      </c>
      <c r="N680" s="884" t="s">
        <v>414</v>
      </c>
      <c r="O680" s="869"/>
      <c r="P680" s="138">
        <v>0</v>
      </c>
      <c r="Q680" s="138">
        <v>0</v>
      </c>
      <c r="T680" s="528" t="s">
        <v>356</v>
      </c>
      <c r="U680" s="2" t="s">
        <v>357</v>
      </c>
      <c r="V680" s="2" t="s">
        <v>73</v>
      </c>
      <c r="W680" s="884" t="s">
        <v>414</v>
      </c>
      <c r="X680" s="869"/>
      <c r="Y680" s="529">
        <v>0</v>
      </c>
      <c r="Z680" s="529">
        <v>0</v>
      </c>
      <c r="AA680" s="529">
        <v>0</v>
      </c>
      <c r="AB680" s="530">
        <v>0</v>
      </c>
      <c r="AC680" s="146"/>
      <c r="AD680" s="146"/>
      <c r="AE680" s="146"/>
      <c r="AF680" s="146"/>
      <c r="AG680" s="146"/>
      <c r="AH680" s="146"/>
      <c r="AI680" s="146"/>
      <c r="AJ680" s="146"/>
      <c r="AK680" s="146"/>
      <c r="AL680" s="146"/>
      <c r="AM680" s="146"/>
      <c r="AN680" s="146"/>
    </row>
    <row r="681" spans="1:40" ht="19.5" x14ac:dyDescent="0.25">
      <c r="T681" s="1089" t="s">
        <v>364</v>
      </c>
      <c r="U681" s="1089" t="s">
        <v>154</v>
      </c>
      <c r="V681" s="882" t="s">
        <v>10</v>
      </c>
      <c r="W681" s="854" t="s">
        <v>156</v>
      </c>
      <c r="X681" s="858"/>
      <c r="Y681" s="89" t="s">
        <v>158</v>
      </c>
      <c r="Z681" s="92" t="s">
        <v>159</v>
      </c>
      <c r="AA681" s="89" t="s">
        <v>158</v>
      </c>
      <c r="AB681" s="92" t="s">
        <v>159</v>
      </c>
      <c r="AC681" s="146"/>
      <c r="AD681" s="146"/>
      <c r="AE681" s="146"/>
      <c r="AF681" s="146"/>
      <c r="AG681" s="146"/>
      <c r="AH681" s="146"/>
      <c r="AI681" s="146"/>
      <c r="AJ681" s="146"/>
      <c r="AK681" s="146"/>
      <c r="AL681" s="146"/>
      <c r="AM681" s="146"/>
      <c r="AN681" s="146"/>
    </row>
    <row r="682" spans="1:40" x14ac:dyDescent="0.25">
      <c r="B682" s="383" t="s">
        <v>283</v>
      </c>
      <c r="T682" s="1090"/>
      <c r="U682" s="1090"/>
      <c r="V682" s="1092"/>
      <c r="W682" s="1093">
        <v>0</v>
      </c>
      <c r="X682" s="1094"/>
      <c r="Y682" s="90">
        <f>W612</f>
        <v>2032</v>
      </c>
      <c r="Z682" s="90">
        <f>W612</f>
        <v>2032</v>
      </c>
      <c r="AA682" s="90">
        <f>W612</f>
        <v>2032</v>
      </c>
      <c r="AB682" s="90">
        <f>W612</f>
        <v>2032</v>
      </c>
      <c r="AC682" s="146"/>
      <c r="AD682" s="146"/>
      <c r="AE682" s="146"/>
      <c r="AF682" s="146"/>
      <c r="AG682" s="146"/>
      <c r="AH682" s="146"/>
      <c r="AI682" s="146"/>
      <c r="AJ682" s="146"/>
      <c r="AK682" s="146"/>
      <c r="AL682" s="146"/>
      <c r="AM682" s="146"/>
      <c r="AN682" s="146"/>
    </row>
    <row r="683" spans="1:40" x14ac:dyDescent="0.25">
      <c r="B683" s="383" t="s">
        <v>284</v>
      </c>
      <c r="T683" s="1090"/>
      <c r="U683" s="1090"/>
      <c r="V683" s="1092"/>
      <c r="W683" s="854" t="s">
        <v>157</v>
      </c>
      <c r="X683" s="858"/>
      <c r="Y683" s="91" t="s">
        <v>160</v>
      </c>
      <c r="Z683" s="91" t="s">
        <v>160</v>
      </c>
      <c r="AA683" s="91" t="s">
        <v>161</v>
      </c>
      <c r="AB683" s="91" t="s">
        <v>161</v>
      </c>
      <c r="AC683" s="146"/>
      <c r="AD683" s="146"/>
      <c r="AE683" s="146"/>
      <c r="AF683" s="146"/>
      <c r="AG683" s="146"/>
      <c r="AH683" s="146"/>
      <c r="AI683" s="146"/>
      <c r="AJ683" s="146"/>
      <c r="AK683" s="146"/>
      <c r="AL683" s="146"/>
      <c r="AM683" s="146"/>
      <c r="AN683" s="146"/>
    </row>
    <row r="684" spans="1:40" x14ac:dyDescent="0.25">
      <c r="T684" s="1091"/>
      <c r="U684" s="1091"/>
      <c r="V684" s="883"/>
      <c r="W684" s="1095">
        <v>0</v>
      </c>
      <c r="X684" s="1093"/>
      <c r="Y684" s="464">
        <v>0</v>
      </c>
      <c r="Z684" s="464">
        <v>0</v>
      </c>
      <c r="AA684" s="464">
        <v>0</v>
      </c>
      <c r="AB684" s="464">
        <v>0</v>
      </c>
      <c r="AC684" s="146"/>
      <c r="AD684" s="146"/>
      <c r="AE684" s="146"/>
      <c r="AF684" s="146"/>
      <c r="AG684" s="146"/>
      <c r="AH684" s="146"/>
      <c r="AI684" s="146"/>
      <c r="AJ684" s="146"/>
      <c r="AK684" s="146"/>
      <c r="AL684" s="146"/>
      <c r="AM684" s="146"/>
      <c r="AN684" s="146"/>
    </row>
    <row r="685" spans="1:40" x14ac:dyDescent="0.25">
      <c r="A685" s="252"/>
      <c r="B685" s="29"/>
      <c r="C685" s="29"/>
      <c r="D685" s="29"/>
      <c r="E685" s="29"/>
      <c r="F685" s="29"/>
      <c r="G685" s="29"/>
      <c r="H685" s="29"/>
      <c r="I685" s="29"/>
      <c r="J685" s="29"/>
      <c r="K685" s="29"/>
      <c r="L685" s="29"/>
      <c r="M685" s="29"/>
      <c r="N685" s="29"/>
      <c r="O685" s="29"/>
      <c r="P685" s="29"/>
      <c r="Q685" s="29"/>
      <c r="R685" s="29"/>
      <c r="AC685" s="146"/>
      <c r="AD685" s="146"/>
      <c r="AE685" s="146"/>
      <c r="AF685" s="146"/>
      <c r="AG685" s="338"/>
      <c r="AH685" s="338"/>
    </row>
    <row r="686" spans="1:40" x14ac:dyDescent="0.25">
      <c r="B686" s="899" t="s">
        <v>316</v>
      </c>
      <c r="C686" s="900"/>
      <c r="D686" s="900"/>
      <c r="E686" s="900"/>
      <c r="F686" s="900"/>
      <c r="G686" s="900"/>
      <c r="H686" s="900"/>
      <c r="K686" s="899" t="s">
        <v>317</v>
      </c>
      <c r="L686" s="900"/>
      <c r="M686" s="900"/>
      <c r="N686" s="900"/>
      <c r="O686" s="900"/>
      <c r="P686" s="900"/>
      <c r="Q686" s="900"/>
      <c r="T686" s="899" t="s">
        <v>162</v>
      </c>
      <c r="U686" s="900"/>
      <c r="V686" s="900"/>
      <c r="W686" s="900"/>
      <c r="X686" s="900"/>
      <c r="Y686" s="900"/>
      <c r="Z686" s="900"/>
      <c r="AA686" s="900"/>
      <c r="AB686" s="900"/>
      <c r="AC686" s="146"/>
      <c r="AD686" s="146"/>
      <c r="AK686" s="146"/>
      <c r="AL686" s="146"/>
      <c r="AM686" s="146"/>
      <c r="AN686" s="146"/>
    </row>
    <row r="687" spans="1:40" x14ac:dyDescent="0.25">
      <c r="C687" s="272"/>
      <c r="E687" s="25"/>
      <c r="F687" s="25"/>
      <c r="L687" s="25"/>
      <c r="N687" s="25"/>
      <c r="T687" s="1079" t="s">
        <v>318</v>
      </c>
      <c r="U687" s="1079"/>
      <c r="V687" s="1079"/>
      <c r="W687" s="1079"/>
      <c r="X687" s="1079"/>
      <c r="Y687" s="1079"/>
      <c r="Z687" s="1079"/>
      <c r="AA687" s="1079"/>
      <c r="AB687" s="1079"/>
      <c r="AC687" s="146"/>
      <c r="AD687" s="146"/>
      <c r="AK687" s="146"/>
      <c r="AL687" s="146"/>
      <c r="AM687" s="146"/>
      <c r="AN687" s="146"/>
    </row>
    <row r="688" spans="1:40" x14ac:dyDescent="0.25">
      <c r="C688" s="272" t="s">
        <v>103</v>
      </c>
      <c r="D688" s="274">
        <f>D612+1</f>
        <v>2033</v>
      </c>
      <c r="E688" s="25"/>
      <c r="F688" s="272" t="s">
        <v>221</v>
      </c>
      <c r="G688" s="275" t="str">
        <f>Výpočty!Q$48</f>
        <v>-</v>
      </c>
      <c r="H688" s="275" t="str">
        <f>IF(Výpočty!Q$49="-"," ",CONCATENATE("- ",DAY(Výpočty!Q$49),".",MONTH(Výpočty!Q$49),".",D688))</f>
        <v xml:space="preserve"> </v>
      </c>
      <c r="L688" s="272" t="s">
        <v>103</v>
      </c>
      <c r="M688" s="274">
        <f>D688</f>
        <v>2033</v>
      </c>
      <c r="O688" s="272" t="s">
        <v>221</v>
      </c>
      <c r="P688" s="360" t="str">
        <f>Výpočty!Q$44</f>
        <v>-</v>
      </c>
      <c r="Q688" s="360" t="str">
        <f>IF(P688="-"," ",H688)</f>
        <v xml:space="preserve"> </v>
      </c>
      <c r="T688" s="333"/>
      <c r="U688" s="333"/>
      <c r="V688" s="342" t="s">
        <v>147</v>
      </c>
      <c r="W688" s="274">
        <f>D688</f>
        <v>2033</v>
      </c>
      <c r="Z688" s="272" t="s">
        <v>221</v>
      </c>
      <c r="AA688" s="275" t="str">
        <f>G688</f>
        <v>-</v>
      </c>
      <c r="AB688" s="275" t="str">
        <f>H688</f>
        <v xml:space="preserve"> </v>
      </c>
      <c r="AC688" s="146"/>
      <c r="AD688" s="146"/>
      <c r="AK688" s="146"/>
      <c r="AL688" s="146"/>
      <c r="AM688" s="146"/>
      <c r="AN688" s="146"/>
    </row>
    <row r="689" spans="2:40" x14ac:dyDescent="0.25">
      <c r="B689" s="13" t="s">
        <v>66</v>
      </c>
      <c r="C689" s="13" t="s">
        <v>89</v>
      </c>
      <c r="D689" s="902" t="str">
        <f t="shared" ref="D689:D694" si="73">D613</f>
        <v>PRVOK s.r.o., IČ 281 28 257</v>
      </c>
      <c r="E689" s="903"/>
      <c r="F689" s="903"/>
      <c r="G689" s="903"/>
      <c r="H689" s="904"/>
      <c r="K689" s="13" t="s">
        <v>66</v>
      </c>
      <c r="L689" s="13" t="s">
        <v>89</v>
      </c>
      <c r="M689" s="1080" t="str">
        <f>D689</f>
        <v>PRVOK s.r.o., IČ 281 28 257</v>
      </c>
      <c r="N689" s="1081"/>
      <c r="O689" s="1081"/>
      <c r="P689" s="1081"/>
      <c r="Q689" s="1081"/>
      <c r="T689" s="13" t="s">
        <v>66</v>
      </c>
      <c r="U689" s="13" t="s">
        <v>89</v>
      </c>
      <c r="V689" s="1080" t="str">
        <f>D689</f>
        <v>PRVOK s.r.o., IČ 281 28 257</v>
      </c>
      <c r="W689" s="1081"/>
      <c r="X689" s="1081"/>
      <c r="Y689" s="1081"/>
      <c r="Z689" s="1081"/>
      <c r="AA689" s="1081"/>
      <c r="AB689" s="1081"/>
      <c r="AC689" s="146"/>
      <c r="AD689" s="146"/>
      <c r="AK689" s="146"/>
      <c r="AL689" s="146"/>
      <c r="AM689" s="146"/>
      <c r="AN689" s="146"/>
    </row>
    <row r="690" spans="2:40" x14ac:dyDescent="0.25">
      <c r="B690" s="13" t="s">
        <v>84</v>
      </c>
      <c r="C690" s="13" t="s">
        <v>90</v>
      </c>
      <c r="D690" s="902" t="str">
        <f t="shared" si="73"/>
        <v>PRVOK s.r.o., IČ 281 28 257</v>
      </c>
      <c r="E690" s="903"/>
      <c r="F690" s="903"/>
      <c r="G690" s="903"/>
      <c r="H690" s="904"/>
      <c r="K690" s="13" t="s">
        <v>84</v>
      </c>
      <c r="L690" s="13" t="s">
        <v>90</v>
      </c>
      <c r="M690" s="1061" t="str">
        <f>D690</f>
        <v>PRVOK s.r.o., IČ 281 28 257</v>
      </c>
      <c r="N690" s="1062"/>
      <c r="O690" s="1062"/>
      <c r="P690" s="1062"/>
      <c r="Q690" s="1063"/>
      <c r="T690" s="13" t="s">
        <v>84</v>
      </c>
      <c r="U690" s="13" t="s">
        <v>90</v>
      </c>
      <c r="V690" s="1061" t="str">
        <f>D690</f>
        <v>PRVOK s.r.o., IČ 281 28 257</v>
      </c>
      <c r="W690" s="1062"/>
      <c r="X690" s="1062"/>
      <c r="Y690" s="1062"/>
      <c r="Z690" s="1062"/>
      <c r="AA690" s="1062"/>
      <c r="AB690" s="1063"/>
      <c r="AC690" s="146"/>
      <c r="AD690" s="146"/>
      <c r="AK690" s="146"/>
      <c r="AL690" s="146"/>
      <c r="AM690" s="146"/>
      <c r="AN690" s="146"/>
    </row>
    <row r="691" spans="2:40" x14ac:dyDescent="0.25">
      <c r="B691" s="13" t="s">
        <v>85</v>
      </c>
      <c r="C691" s="13" t="s">
        <v>91</v>
      </c>
      <c r="D691" s="902" t="str">
        <f t="shared" si="73"/>
        <v>Obec Benešov nad Černou, IČ 00245780</v>
      </c>
      <c r="E691" s="903"/>
      <c r="F691" s="903"/>
      <c r="G691" s="903"/>
      <c r="H691" s="904"/>
      <c r="K691" s="13" t="s">
        <v>85</v>
      </c>
      <c r="L691" s="13" t="s">
        <v>91</v>
      </c>
      <c r="M691" s="1061" t="str">
        <f>D691</f>
        <v>Obec Benešov nad Černou, IČ 00245780</v>
      </c>
      <c r="N691" s="1062"/>
      <c r="O691" s="1062"/>
      <c r="P691" s="1062"/>
      <c r="Q691" s="1063"/>
      <c r="T691" s="13" t="s">
        <v>85</v>
      </c>
      <c r="U691" s="13" t="s">
        <v>91</v>
      </c>
      <c r="V691" s="1061" t="str">
        <f>D691</f>
        <v>Obec Benešov nad Černou, IČ 00245780</v>
      </c>
      <c r="W691" s="1062"/>
      <c r="X691" s="1062"/>
      <c r="Y691" s="1062"/>
      <c r="Z691" s="1062"/>
      <c r="AA691" s="1062"/>
      <c r="AB691" s="1063"/>
      <c r="AC691" s="146"/>
      <c r="AD691" s="146"/>
      <c r="AK691" s="146"/>
      <c r="AL691" s="146"/>
      <c r="AM691" s="146"/>
      <c r="AN691" s="146"/>
    </row>
    <row r="692" spans="2:40" x14ac:dyDescent="0.25">
      <c r="B692" s="13" t="s">
        <v>86</v>
      </c>
      <c r="C692" s="13" t="s">
        <v>93</v>
      </c>
      <c r="D692" s="1055" t="str">
        <f t="shared" si="73"/>
        <v>A</v>
      </c>
      <c r="E692" s="1056"/>
      <c r="F692" s="1056"/>
      <c r="G692" s="1056"/>
      <c r="H692" s="1057"/>
      <c r="K692" s="13" t="s">
        <v>86</v>
      </c>
      <c r="L692" s="13" t="s">
        <v>93</v>
      </c>
      <c r="M692" s="1058" t="str">
        <f>IF($D692="[vyplnit]"," ",$D692)</f>
        <v>A</v>
      </c>
      <c r="N692" s="1059"/>
      <c r="O692" s="1059"/>
      <c r="P692" s="1059"/>
      <c r="Q692" s="1060"/>
      <c r="T692" s="13" t="s">
        <v>86</v>
      </c>
      <c r="U692" s="13" t="s">
        <v>93</v>
      </c>
      <c r="V692" s="1064" t="str">
        <f>IF($D692="[vyplnit]"," ",$D692)</f>
        <v>A</v>
      </c>
      <c r="W692" s="1064"/>
      <c r="X692" s="1064"/>
      <c r="Y692" s="1064"/>
      <c r="Z692" s="1064"/>
      <c r="AA692" s="1064"/>
      <c r="AB692" s="1064"/>
      <c r="AC692" s="146"/>
      <c r="AD692" s="146"/>
      <c r="AK692" s="146"/>
      <c r="AL692" s="146"/>
      <c r="AM692" s="146"/>
      <c r="AN692" s="146"/>
    </row>
    <row r="693" spans="2:40" x14ac:dyDescent="0.25">
      <c r="B693" s="13" t="s">
        <v>87</v>
      </c>
      <c r="C693" s="13" t="s">
        <v>92</v>
      </c>
      <c r="D693" s="1055">
        <f t="shared" si="73"/>
        <v>1</v>
      </c>
      <c r="E693" s="1056"/>
      <c r="F693" s="1056"/>
      <c r="G693" s="1056"/>
      <c r="H693" s="1057"/>
      <c r="K693" s="13" t="s">
        <v>87</v>
      </c>
      <c r="L693" s="13" t="s">
        <v>92</v>
      </c>
      <c r="M693" s="1058">
        <f>IF($D693="[vyplnit]"," ",$D693)</f>
        <v>1</v>
      </c>
      <c r="N693" s="1059"/>
      <c r="O693" s="1059"/>
      <c r="P693" s="1059"/>
      <c r="Q693" s="1060"/>
      <c r="T693" s="13" t="s">
        <v>87</v>
      </c>
      <c r="U693" s="13" t="s">
        <v>92</v>
      </c>
      <c r="V693" s="1064">
        <f>IF($D693="[vyplnit]"," ",$D693)</f>
        <v>1</v>
      </c>
      <c r="W693" s="1064"/>
      <c r="X693" s="1064"/>
      <c r="Y693" s="1064"/>
      <c r="Z693" s="1064"/>
      <c r="AA693" s="1064"/>
      <c r="AB693" s="1064"/>
      <c r="AC693" s="146"/>
      <c r="AD693" s="146"/>
      <c r="AK693" s="146"/>
      <c r="AL693" s="146"/>
      <c r="AM693" s="146"/>
      <c r="AN693" s="146"/>
    </row>
    <row r="694" spans="2:40" x14ac:dyDescent="0.25">
      <c r="B694" s="13" t="s">
        <v>88</v>
      </c>
      <c r="C694" s="13" t="s">
        <v>94</v>
      </c>
      <c r="D694" s="1055" t="str">
        <f t="shared" si="73"/>
        <v>[vyplnit]</v>
      </c>
      <c r="E694" s="1056"/>
      <c r="F694" s="1056"/>
      <c r="G694" s="1056"/>
      <c r="H694" s="1057"/>
      <c r="K694" s="13" t="s">
        <v>88</v>
      </c>
      <c r="L694" s="13" t="s">
        <v>94</v>
      </c>
      <c r="M694" s="1058" t="str">
        <f>IF($D694="[vyplnit]"," ",$D694)</f>
        <v xml:space="preserve"> </v>
      </c>
      <c r="N694" s="1059"/>
      <c r="O694" s="1059"/>
      <c r="P694" s="1059"/>
      <c r="Q694" s="1060"/>
      <c r="T694" s="13" t="s">
        <v>88</v>
      </c>
      <c r="U694" s="13" t="s">
        <v>94</v>
      </c>
      <c r="V694" s="1064" t="str">
        <f>IF($D694="[vyplnit]"," ",$D694)</f>
        <v xml:space="preserve"> </v>
      </c>
      <c r="W694" s="1064"/>
      <c r="X694" s="1064"/>
      <c r="Y694" s="1064"/>
      <c r="Z694" s="1064"/>
      <c r="AA694" s="1064"/>
      <c r="AB694" s="1064"/>
      <c r="AC694" s="146"/>
      <c r="AD694" s="146"/>
      <c r="AK694" s="146"/>
      <c r="AL694" s="146"/>
      <c r="AM694" s="146"/>
      <c r="AN694" s="146"/>
    </row>
    <row r="695" spans="2:40" x14ac:dyDescent="0.25">
      <c r="AC695" s="146"/>
      <c r="AK695" s="146"/>
      <c r="AL695" s="146"/>
      <c r="AM695" s="146"/>
      <c r="AN695" s="146"/>
    </row>
    <row r="696" spans="2:40" x14ac:dyDescent="0.25">
      <c r="B696" s="1052" t="s">
        <v>5</v>
      </c>
      <c r="C696" s="884" t="s">
        <v>0</v>
      </c>
      <c r="D696" s="868"/>
      <c r="E696" s="868"/>
      <c r="F696" s="868"/>
      <c r="G696" s="868"/>
      <c r="H696" s="869"/>
      <c r="K696" s="1052" t="s">
        <v>5</v>
      </c>
      <c r="L696" s="884" t="s">
        <v>0</v>
      </c>
      <c r="M696" s="868"/>
      <c r="N696" s="868"/>
      <c r="O696" s="868"/>
      <c r="P696" s="868"/>
      <c r="Q696" s="869"/>
      <c r="T696" s="1052" t="s">
        <v>5</v>
      </c>
      <c r="U696" s="884" t="s">
        <v>0</v>
      </c>
      <c r="V696" s="868"/>
      <c r="W696" s="868"/>
      <c r="X696" s="868"/>
      <c r="Y696" s="868"/>
      <c r="Z696" s="868"/>
      <c r="AA696" s="868"/>
      <c r="AB696" s="869"/>
      <c r="AC696" s="146"/>
      <c r="AK696" s="146"/>
      <c r="AL696" s="146"/>
      <c r="AM696" s="146"/>
      <c r="AN696" s="146"/>
    </row>
    <row r="697" spans="2:40" x14ac:dyDescent="0.25">
      <c r="B697" s="1053"/>
      <c r="C697" s="1052" t="s">
        <v>1</v>
      </c>
      <c r="D697" s="1065" t="s">
        <v>133</v>
      </c>
      <c r="E697" s="884" t="s">
        <v>3</v>
      </c>
      <c r="F697" s="868"/>
      <c r="G697" s="884" t="s">
        <v>4</v>
      </c>
      <c r="H697" s="869"/>
      <c r="K697" s="1053"/>
      <c r="L697" s="1052" t="s">
        <v>1</v>
      </c>
      <c r="M697" s="1065" t="s">
        <v>133</v>
      </c>
      <c r="N697" s="884" t="s">
        <v>3</v>
      </c>
      <c r="O697" s="868"/>
      <c r="P697" s="884" t="s">
        <v>4</v>
      </c>
      <c r="Q697" s="869"/>
      <c r="T697" s="1053"/>
      <c r="U697" s="1052" t="s">
        <v>1</v>
      </c>
      <c r="V697" s="1065" t="s">
        <v>133</v>
      </c>
      <c r="W697" s="884" t="s">
        <v>3</v>
      </c>
      <c r="X697" s="868"/>
      <c r="Y697" s="868"/>
      <c r="Z697" s="884" t="s">
        <v>4</v>
      </c>
      <c r="AA697" s="868"/>
      <c r="AB697" s="869"/>
      <c r="AC697" s="146"/>
      <c r="AK697" s="146"/>
      <c r="AL697" s="146"/>
      <c r="AM697" s="146"/>
      <c r="AN697" s="146"/>
    </row>
    <row r="698" spans="2:40" x14ac:dyDescent="0.25">
      <c r="B698" s="1053"/>
      <c r="C698" s="1053"/>
      <c r="D698" s="1053"/>
      <c r="E698" s="28">
        <f>D688-1</f>
        <v>2032</v>
      </c>
      <c r="F698" s="28">
        <f>D688</f>
        <v>2033</v>
      </c>
      <c r="G698" s="28">
        <f>D688-1</f>
        <v>2032</v>
      </c>
      <c r="H698" s="28">
        <f>D688</f>
        <v>2033</v>
      </c>
      <c r="K698" s="1053"/>
      <c r="L698" s="1053"/>
      <c r="M698" s="1053"/>
      <c r="N698" s="28">
        <f>M688-1</f>
        <v>2032</v>
      </c>
      <c r="O698" s="28">
        <f>M688</f>
        <v>2033</v>
      </c>
      <c r="P698" s="28">
        <f>M688-1</f>
        <v>2032</v>
      </c>
      <c r="Q698" s="28">
        <f>M688</f>
        <v>2033</v>
      </c>
      <c r="T698" s="1053"/>
      <c r="U698" s="1053"/>
      <c r="V698" s="1053"/>
      <c r="W698" s="28">
        <f>W688</f>
        <v>2033</v>
      </c>
      <c r="X698" s="28">
        <f>W688</f>
        <v>2033</v>
      </c>
      <c r="Y698" s="28">
        <f>W688</f>
        <v>2033</v>
      </c>
      <c r="Z698" s="28">
        <f>W688</f>
        <v>2033</v>
      </c>
      <c r="AA698" s="28">
        <f>W688</f>
        <v>2033</v>
      </c>
      <c r="AB698" s="28">
        <f>W688</f>
        <v>2033</v>
      </c>
      <c r="AC698" s="146"/>
      <c r="AK698" s="146"/>
      <c r="AL698" s="146"/>
      <c r="AM698" s="146"/>
      <c r="AN698" s="146"/>
    </row>
    <row r="699" spans="2:40" x14ac:dyDescent="0.25">
      <c r="B699" s="1054"/>
      <c r="C699" s="1054"/>
      <c r="D699" s="1054"/>
      <c r="E699" s="7" t="s">
        <v>151</v>
      </c>
      <c r="F699" s="7" t="s">
        <v>98</v>
      </c>
      <c r="G699" s="7" t="s">
        <v>151</v>
      </c>
      <c r="H699" s="19" t="s">
        <v>98</v>
      </c>
      <c r="K699" s="1054"/>
      <c r="L699" s="1054"/>
      <c r="M699" s="1054"/>
      <c r="N699" s="7" t="s">
        <v>151</v>
      </c>
      <c r="O699" s="7" t="s">
        <v>98</v>
      </c>
      <c r="P699" s="7" t="s">
        <v>151</v>
      </c>
      <c r="Q699" s="19" t="s">
        <v>98</v>
      </c>
      <c r="T699" s="1054"/>
      <c r="U699" s="1054"/>
      <c r="V699" s="1054"/>
      <c r="W699" s="7" t="s">
        <v>150</v>
      </c>
      <c r="X699" s="7" t="s">
        <v>98</v>
      </c>
      <c r="Y699" s="7" t="s">
        <v>149</v>
      </c>
      <c r="Z699" s="7" t="s">
        <v>150</v>
      </c>
      <c r="AA699" s="7" t="s">
        <v>98</v>
      </c>
      <c r="AB699" s="19" t="s">
        <v>149</v>
      </c>
      <c r="AC699" s="146"/>
      <c r="AK699" s="146"/>
      <c r="AL699" s="146"/>
      <c r="AM699" s="146"/>
      <c r="AN699" s="146"/>
    </row>
    <row r="700" spans="2:40" x14ac:dyDescent="0.25">
      <c r="B700" s="11">
        <v>1</v>
      </c>
      <c r="C700" s="11">
        <v>2</v>
      </c>
      <c r="D700" s="11" t="s">
        <v>95</v>
      </c>
      <c r="E700" s="11">
        <v>3</v>
      </c>
      <c r="F700" s="11">
        <v>4</v>
      </c>
      <c r="G700" s="11">
        <v>6</v>
      </c>
      <c r="H700" s="22">
        <v>7</v>
      </c>
      <c r="K700" s="11">
        <v>1</v>
      </c>
      <c r="L700" s="11">
        <v>2</v>
      </c>
      <c r="M700" s="11" t="s">
        <v>95</v>
      </c>
      <c r="N700" s="11">
        <v>3</v>
      </c>
      <c r="O700" s="11">
        <v>4</v>
      </c>
      <c r="P700" s="11">
        <v>6</v>
      </c>
      <c r="Q700" s="22">
        <v>7</v>
      </c>
      <c r="T700" s="11">
        <v>1</v>
      </c>
      <c r="U700" s="11">
        <v>2</v>
      </c>
      <c r="V700" s="11" t="s">
        <v>95</v>
      </c>
      <c r="W700" s="11">
        <v>3</v>
      </c>
      <c r="X700" s="11">
        <v>4</v>
      </c>
      <c r="Y700" s="11">
        <v>5</v>
      </c>
      <c r="Z700" s="11">
        <v>6</v>
      </c>
      <c r="AA700" s="11">
        <v>7</v>
      </c>
      <c r="AB700" s="22">
        <v>8</v>
      </c>
      <c r="AC700" s="146"/>
      <c r="AK700" s="146"/>
      <c r="AL700" s="146"/>
      <c r="AM700" s="146"/>
      <c r="AN700" s="146"/>
    </row>
    <row r="701" spans="2:40" x14ac:dyDescent="0.25">
      <c r="B701" s="9" t="s">
        <v>8</v>
      </c>
      <c r="C701" s="10" t="s">
        <v>9</v>
      </c>
      <c r="D701" s="11" t="s">
        <v>10</v>
      </c>
      <c r="E701" s="41">
        <f>SUM(E702:E705)</f>
        <v>0</v>
      </c>
      <c r="F701" s="41">
        <f>SUM(F702:F705)</f>
        <v>0</v>
      </c>
      <c r="G701" s="41">
        <f>SUM(G702:G705)</f>
        <v>0</v>
      </c>
      <c r="H701" s="86">
        <f>SUM(H702:H705)</f>
        <v>0</v>
      </c>
      <c r="K701" s="9" t="s">
        <v>8</v>
      </c>
      <c r="L701" s="10" t="s">
        <v>9</v>
      </c>
      <c r="M701" s="11" t="s">
        <v>10</v>
      </c>
      <c r="N701" s="41">
        <f>SUM(N702:N705)</f>
        <v>0</v>
      </c>
      <c r="O701" s="41">
        <f>SUM(O702:O705)</f>
        <v>0</v>
      </c>
      <c r="P701" s="41">
        <f>SUM(P702:P705)</f>
        <v>0</v>
      </c>
      <c r="Q701" s="86">
        <f>SUM(Q702:Q705)</f>
        <v>0</v>
      </c>
      <c r="T701" s="9" t="s">
        <v>8</v>
      </c>
      <c r="U701" s="10" t="s">
        <v>9</v>
      </c>
      <c r="V701" s="11" t="s">
        <v>10</v>
      </c>
      <c r="W701" s="86">
        <f t="shared" ref="W701:AB701" si="74">SUM(W702:W705)</f>
        <v>0</v>
      </c>
      <c r="X701" s="86">
        <f t="shared" si="74"/>
        <v>0</v>
      </c>
      <c r="Y701" s="86">
        <f t="shared" si="74"/>
        <v>0</v>
      </c>
      <c r="Z701" s="86">
        <f t="shared" si="74"/>
        <v>0</v>
      </c>
      <c r="AA701" s="86">
        <f t="shared" si="74"/>
        <v>0</v>
      </c>
      <c r="AB701" s="86">
        <f t="shared" si="74"/>
        <v>0</v>
      </c>
      <c r="AC701" s="146"/>
      <c r="AK701" s="146"/>
      <c r="AL701" s="146"/>
      <c r="AM701" s="146"/>
      <c r="AN701" s="146"/>
    </row>
    <row r="702" spans="2:40" x14ac:dyDescent="0.25">
      <c r="B702" s="12" t="s">
        <v>11</v>
      </c>
      <c r="C702" s="13" t="s">
        <v>12</v>
      </c>
      <c r="D702" s="3" t="s">
        <v>10</v>
      </c>
      <c r="E702" s="44">
        <v>0</v>
      </c>
      <c r="F702" s="44">
        <f>IF(YEAR(Postup!$H$25)&gt;$D$688,Provozování!BC23,IF(AND(DAY(Postup!$H$25)=31,MONTH(Postup!$H$25)=12,YEAR(Postup!$H$25)=$D$688),Provozování!BC23,IF(YEAR(Postup!$H$25)=$D$688,Provozování!$BL23,0)))</f>
        <v>0</v>
      </c>
      <c r="G702" s="44">
        <v>0</v>
      </c>
      <c r="H702" s="334">
        <v>0</v>
      </c>
      <c r="K702" s="12" t="s">
        <v>11</v>
      </c>
      <c r="L702" s="13" t="s">
        <v>12</v>
      </c>
      <c r="M702" s="3" t="s">
        <v>10</v>
      </c>
      <c r="N702" s="44">
        <v>0</v>
      </c>
      <c r="O702" s="44">
        <f>IF(Provozování!$BE$16="Neaktivní",0,Provozování!BE23)</f>
        <v>0</v>
      </c>
      <c r="P702" s="44">
        <v>0</v>
      </c>
      <c r="Q702" s="334">
        <v>0</v>
      </c>
      <c r="T702" s="12" t="s">
        <v>11</v>
      </c>
      <c r="U702" s="13" t="s">
        <v>12</v>
      </c>
      <c r="V702" s="3" t="s">
        <v>10</v>
      </c>
      <c r="W702" s="462">
        <v>0</v>
      </c>
      <c r="X702" s="44">
        <f>IF(Provozování!$BE$16="Neaktivní",F702,O702)</f>
        <v>0</v>
      </c>
      <c r="Y702" s="44">
        <f>W702-X702</f>
        <v>0</v>
      </c>
      <c r="Z702" s="337">
        <v>0</v>
      </c>
      <c r="AA702" s="337">
        <v>0</v>
      </c>
      <c r="AB702" s="334">
        <v>0</v>
      </c>
      <c r="AC702" s="146"/>
      <c r="AK702" s="146"/>
      <c r="AL702" s="146"/>
      <c r="AM702" s="146"/>
      <c r="AN702" s="146"/>
    </row>
    <row r="703" spans="2:40" x14ac:dyDescent="0.25">
      <c r="B703" s="12" t="s">
        <v>13</v>
      </c>
      <c r="C703" s="12" t="s">
        <v>14</v>
      </c>
      <c r="D703" s="3" t="s">
        <v>10</v>
      </c>
      <c r="E703" s="52">
        <v>0</v>
      </c>
      <c r="F703" s="44">
        <f>IF(YEAR(Postup!$H$25)&gt;$D$688,Provozování!BC24,IF(AND(DAY(Postup!$H$25)=31,MONTH(Postup!$H$25)=12,YEAR(Postup!$H$25)=$D$688),Provozování!BC24,IF(YEAR(Postup!$H$25)=$D$688,Provozování!$BL24,0)))</f>
        <v>0</v>
      </c>
      <c r="G703" s="52">
        <v>0</v>
      </c>
      <c r="H703" s="30">
        <f>IF(YEAR(Postup!$H$25)&gt;$D$688,Provozování!BD24,IF(AND(DAY(Postup!$H$25)=31,MONTH(Postup!$H$25)=12,YEAR(Postup!$H$25)=$D$688),Provozování!BD24,IF(YEAR(Postup!$H$25)=$D$688,Provozování!$BM24,0)))</f>
        <v>0</v>
      </c>
      <c r="K703" s="12" t="s">
        <v>13</v>
      </c>
      <c r="L703" s="12" t="s">
        <v>14</v>
      </c>
      <c r="M703" s="3" t="s">
        <v>10</v>
      </c>
      <c r="N703" s="52">
        <v>0</v>
      </c>
      <c r="O703" s="44">
        <f>IF(Provozování!$BE$16="Neaktivní",0,Provozování!BE24)</f>
        <v>0</v>
      </c>
      <c r="P703" s="52">
        <v>0</v>
      </c>
      <c r="Q703" s="53">
        <f>IF(Provozování!$BE$16="Neaktivní",0,Provozování!BF24)</f>
        <v>0</v>
      </c>
      <c r="T703" s="12" t="s">
        <v>13</v>
      </c>
      <c r="U703" s="12" t="s">
        <v>14</v>
      </c>
      <c r="V703" s="3" t="s">
        <v>10</v>
      </c>
      <c r="W703" s="463">
        <v>0</v>
      </c>
      <c r="X703" s="44">
        <f>IF(Provozování!$BE$16="Neaktivní",F703,O703)</f>
        <v>0</v>
      </c>
      <c r="Y703" s="44">
        <f>W703-X703</f>
        <v>0</v>
      </c>
      <c r="Z703" s="463">
        <v>0</v>
      </c>
      <c r="AA703" s="44">
        <f>IF(Provozování!$BE$16="Neaktivní",H703,Q703)</f>
        <v>0</v>
      </c>
      <c r="AB703" s="30">
        <f>Z703-AA703</f>
        <v>0</v>
      </c>
      <c r="AC703" s="146"/>
      <c r="AK703" s="146"/>
      <c r="AL703" s="146"/>
      <c r="AM703" s="146"/>
      <c r="AN703" s="146"/>
    </row>
    <row r="704" spans="2:40" x14ac:dyDescent="0.25">
      <c r="B704" s="12" t="s">
        <v>15</v>
      </c>
      <c r="C704" s="13" t="s">
        <v>16</v>
      </c>
      <c r="D704" s="3" t="s">
        <v>10</v>
      </c>
      <c r="E704" s="30">
        <v>0</v>
      </c>
      <c r="F704" s="457">
        <f>IF(YEAR(Postup!$H$25)&gt;$D$688,Provozování!BC25,IF(AND(DAY(Postup!$H$25)=31,MONTH(Postup!$H$25)=12,YEAR(Postup!$H$25)=$D$688),Provozování!BC25,IF(YEAR(Postup!$H$25)=$D$688,Provozování!$BL25,0)))</f>
        <v>0</v>
      </c>
      <c r="G704" s="30">
        <v>0</v>
      </c>
      <c r="H704" s="457">
        <f>IF(YEAR(Postup!$H$25)&gt;$D$688,Provozování!BD25,IF(AND(DAY(Postup!$H$25)=31,MONTH(Postup!$H$25)=12,YEAR(Postup!$H$25)=$D$688),Provozování!BD25,IF(YEAR(Postup!$H$25)=$D$688,Provozování!$BM25,0)))</f>
        <v>0</v>
      </c>
      <c r="K704" s="12" t="s">
        <v>15</v>
      </c>
      <c r="L704" s="13" t="s">
        <v>16</v>
      </c>
      <c r="M704" s="3" t="s">
        <v>10</v>
      </c>
      <c r="N704" s="30">
        <v>0</v>
      </c>
      <c r="O704" s="457">
        <f>IF(Provozování!$BE$16="Neaktivní",0,Provozování!BE25)</f>
        <v>0</v>
      </c>
      <c r="P704" s="30">
        <v>0</v>
      </c>
      <c r="Q704" s="457">
        <f>IF(Provozování!$BE$16="Neaktivní",0,Provozování!BF25)</f>
        <v>0</v>
      </c>
      <c r="T704" s="12" t="s">
        <v>15</v>
      </c>
      <c r="U704" s="13" t="s">
        <v>16</v>
      </c>
      <c r="V704" s="3" t="s">
        <v>10</v>
      </c>
      <c r="W704" s="464">
        <v>0</v>
      </c>
      <c r="X704" s="44">
        <f>IF(Provozování!$BE$16="Neaktivní",F704,O704)</f>
        <v>0</v>
      </c>
      <c r="Y704" s="44">
        <f>W704-X704</f>
        <v>0</v>
      </c>
      <c r="Z704" s="464">
        <v>0</v>
      </c>
      <c r="AA704" s="44">
        <f>IF(Provozování!$BE$16="Neaktivní",H704,Q704)</f>
        <v>0</v>
      </c>
      <c r="AB704" s="30">
        <f>Z704-AA704</f>
        <v>0</v>
      </c>
      <c r="AC704" s="146"/>
      <c r="AK704" s="146"/>
      <c r="AL704" s="146"/>
      <c r="AM704" s="146"/>
      <c r="AN704" s="146"/>
    </row>
    <row r="705" spans="2:40" x14ac:dyDescent="0.25">
      <c r="B705" s="12" t="s">
        <v>17</v>
      </c>
      <c r="C705" s="13" t="s">
        <v>18</v>
      </c>
      <c r="D705" s="3" t="s">
        <v>10</v>
      </c>
      <c r="E705" s="87">
        <v>0</v>
      </c>
      <c r="F705" s="457">
        <f>IF(YEAR(Postup!$H$25)&gt;$D$688,Provozování!BC26,IF(AND(DAY(Postup!$H$25)=31,MONTH(Postup!$H$25)=12,YEAR(Postup!$H$25)=$D$688),Provozování!BC26,IF(YEAR(Postup!$H$25)=$D$688,Provozování!$BL26,0)))</f>
        <v>0</v>
      </c>
      <c r="G705" s="87">
        <v>0</v>
      </c>
      <c r="H705" s="457">
        <f>IF(YEAR(Postup!$H$25)&gt;$D$688,Provozování!BD26,IF(AND(DAY(Postup!$H$25)=31,MONTH(Postup!$H$25)=12,YEAR(Postup!$H$25)=$D$688),Provozování!BD26,IF(YEAR(Postup!$H$25)=$D$688,Provozování!$BM26,0)))</f>
        <v>0</v>
      </c>
      <c r="K705" s="12" t="s">
        <v>17</v>
      </c>
      <c r="L705" s="13" t="s">
        <v>18</v>
      </c>
      <c r="M705" s="3" t="s">
        <v>10</v>
      </c>
      <c r="N705" s="87">
        <v>0</v>
      </c>
      <c r="O705" s="457">
        <f>IF(Provozování!$BE$16="Neaktivní",0,Provozování!BE26)</f>
        <v>0</v>
      </c>
      <c r="P705" s="87">
        <v>0</v>
      </c>
      <c r="Q705" s="457">
        <f>IF(Provozování!$BE$16="Neaktivní",0,Provozování!BF26)</f>
        <v>0</v>
      </c>
      <c r="T705" s="12" t="s">
        <v>17</v>
      </c>
      <c r="U705" s="13" t="s">
        <v>18</v>
      </c>
      <c r="V705" s="3" t="s">
        <v>10</v>
      </c>
      <c r="W705" s="465">
        <v>0</v>
      </c>
      <c r="X705" s="44">
        <f>IF(Provozování!$BE$16="Neaktivní",F705,O705)</f>
        <v>0</v>
      </c>
      <c r="Y705" s="44">
        <f>W705-X705</f>
        <v>0</v>
      </c>
      <c r="Z705" s="465">
        <v>0</v>
      </c>
      <c r="AA705" s="44">
        <f>IF(Provozování!$BE$16="Neaktivní",H705,Q705)</f>
        <v>0</v>
      </c>
      <c r="AB705" s="30">
        <f>Z705-AA705</f>
        <v>0</v>
      </c>
      <c r="AC705" s="146"/>
      <c r="AK705" s="146"/>
      <c r="AL705" s="146"/>
      <c r="AM705" s="146"/>
      <c r="AN705" s="146"/>
    </row>
    <row r="706" spans="2:40" x14ac:dyDescent="0.25">
      <c r="B706" s="9" t="s">
        <v>19</v>
      </c>
      <c r="C706" s="10" t="s">
        <v>20</v>
      </c>
      <c r="D706" s="11" t="s">
        <v>10</v>
      </c>
      <c r="E706" s="88">
        <f>SUM(E707:E708)</f>
        <v>0</v>
      </c>
      <c r="F706" s="88">
        <f>SUM(F707:F708)</f>
        <v>0</v>
      </c>
      <c r="G706" s="88">
        <f>SUM(G707:G708)</f>
        <v>0</v>
      </c>
      <c r="H706" s="86">
        <f>SUM(H707:H708)</f>
        <v>0</v>
      </c>
      <c r="K706" s="9" t="s">
        <v>19</v>
      </c>
      <c r="L706" s="10" t="s">
        <v>20</v>
      </c>
      <c r="M706" s="11" t="s">
        <v>10</v>
      </c>
      <c r="N706" s="88">
        <f>SUM(N707:N708)</f>
        <v>0</v>
      </c>
      <c r="O706" s="88">
        <f>SUM(O707:O708)</f>
        <v>0</v>
      </c>
      <c r="P706" s="88">
        <f>SUM(P707:P708)</f>
        <v>0</v>
      </c>
      <c r="Q706" s="86">
        <f>SUM(Q707:Q708)</f>
        <v>0</v>
      </c>
      <c r="T706" s="9" t="s">
        <v>19</v>
      </c>
      <c r="U706" s="10" t="s">
        <v>20</v>
      </c>
      <c r="V706" s="11" t="s">
        <v>10</v>
      </c>
      <c r="W706" s="86">
        <f t="shared" ref="W706:AB706" si="75">SUM(W707:W708)</f>
        <v>0</v>
      </c>
      <c r="X706" s="86">
        <f t="shared" si="75"/>
        <v>0</v>
      </c>
      <c r="Y706" s="86">
        <f t="shared" si="75"/>
        <v>0</v>
      </c>
      <c r="Z706" s="86">
        <f t="shared" si="75"/>
        <v>0</v>
      </c>
      <c r="AA706" s="86">
        <f t="shared" si="75"/>
        <v>0</v>
      </c>
      <c r="AB706" s="86">
        <f t="shared" si="75"/>
        <v>0</v>
      </c>
      <c r="AC706" s="146"/>
      <c r="AK706" s="146"/>
      <c r="AL706" s="146"/>
      <c r="AM706" s="146"/>
      <c r="AN706" s="146"/>
    </row>
    <row r="707" spans="2:40" x14ac:dyDescent="0.25">
      <c r="B707" s="12" t="s">
        <v>21</v>
      </c>
      <c r="C707" s="12" t="s">
        <v>22</v>
      </c>
      <c r="D707" s="3" t="s">
        <v>10</v>
      </c>
      <c r="E707" s="30">
        <v>0</v>
      </c>
      <c r="F707" s="457">
        <f>IF(YEAR(Postup!$H$25)&gt;$D$688,Provozování!BC28,IF(AND(DAY(Postup!$H$25)=31,MONTH(Postup!$H$25)=12,YEAR(Postup!$H$25)=$D$688),Provozování!BC28,IF(YEAR(Postup!$H$25)=$D$688,Provozování!$BL28,0)))</f>
        <v>0</v>
      </c>
      <c r="G707" s="30">
        <v>0</v>
      </c>
      <c r="H707" s="457">
        <f>IF(YEAR(Postup!$H$25)&gt;$D$688,Provozování!BD28,IF(AND(DAY(Postup!$H$25)=31,MONTH(Postup!$H$25)=12,YEAR(Postup!$H$25)=$D$688),Provozování!BD28,IF(YEAR(Postup!$H$25)=$D$688,Provozování!$BM28,0)))</f>
        <v>0</v>
      </c>
      <c r="K707" s="12" t="s">
        <v>21</v>
      </c>
      <c r="L707" s="12" t="s">
        <v>22</v>
      </c>
      <c r="M707" s="3" t="s">
        <v>10</v>
      </c>
      <c r="N707" s="30">
        <v>0</v>
      </c>
      <c r="O707" s="457">
        <f>IF(Provozování!$BE$16="Neaktivní",0,Provozování!BE28)</f>
        <v>0</v>
      </c>
      <c r="P707" s="30">
        <v>0</v>
      </c>
      <c r="Q707" s="457">
        <f>IF(Provozování!$BE$16="Neaktivní",0,Provozování!BF28)</f>
        <v>0</v>
      </c>
      <c r="T707" s="12" t="s">
        <v>21</v>
      </c>
      <c r="U707" s="12" t="s">
        <v>22</v>
      </c>
      <c r="V707" s="3" t="s">
        <v>10</v>
      </c>
      <c r="W707" s="462">
        <v>0</v>
      </c>
      <c r="X707" s="44">
        <f>IF(Provozování!$BE$16="Neaktivní",F707,O707)</f>
        <v>0</v>
      </c>
      <c r="Y707" s="44">
        <f>W707-X707</f>
        <v>0</v>
      </c>
      <c r="Z707" s="464">
        <v>0</v>
      </c>
      <c r="AA707" s="44">
        <f>IF(Provozování!$BE$16="Neaktivní",H707,Q707)</f>
        <v>0</v>
      </c>
      <c r="AB707" s="30">
        <f>Z707-AA707</f>
        <v>0</v>
      </c>
      <c r="AC707" s="146"/>
      <c r="AK707" s="146"/>
      <c r="AL707" s="146"/>
      <c r="AM707" s="146"/>
      <c r="AN707" s="146"/>
    </row>
    <row r="708" spans="2:40" x14ac:dyDescent="0.25">
      <c r="B708" s="12" t="s">
        <v>23</v>
      </c>
      <c r="C708" s="12" t="s">
        <v>24</v>
      </c>
      <c r="D708" s="3" t="s">
        <v>10</v>
      </c>
      <c r="E708" s="87">
        <v>0</v>
      </c>
      <c r="F708" s="457">
        <f>IF(YEAR(Postup!$H$25)&gt;$D$688,Provozování!BC29,IF(AND(DAY(Postup!$H$25)=31,MONTH(Postup!$H$25)=12,YEAR(Postup!$H$25)=$D$688),Provozování!BC29,IF(YEAR(Postup!$H$25)=$D$688,Provozování!$BL29,0)))</f>
        <v>0</v>
      </c>
      <c r="G708" s="87">
        <v>0</v>
      </c>
      <c r="H708" s="457">
        <f>IF(YEAR(Postup!$H$25)&gt;$D$688,Provozování!BD29,IF(AND(DAY(Postup!$H$25)=31,MONTH(Postup!$H$25)=12,YEAR(Postup!$H$25)=$D$688),Provozování!BD29,IF(YEAR(Postup!$H$25)=$D$688,Provozování!$BM29,0)))</f>
        <v>0</v>
      </c>
      <c r="K708" s="12" t="s">
        <v>23</v>
      </c>
      <c r="L708" s="12" t="s">
        <v>24</v>
      </c>
      <c r="M708" s="3" t="s">
        <v>10</v>
      </c>
      <c r="N708" s="87">
        <v>0</v>
      </c>
      <c r="O708" s="457">
        <f>IF(Provozování!$BE$16="Neaktivní",0,Provozování!BE29)</f>
        <v>0</v>
      </c>
      <c r="P708" s="87">
        <v>0</v>
      </c>
      <c r="Q708" s="457">
        <f>IF(Provozování!$BE$16="Neaktivní",0,Provozování!BF29)</f>
        <v>0</v>
      </c>
      <c r="T708" s="12" t="s">
        <v>23</v>
      </c>
      <c r="U708" s="12" t="s">
        <v>24</v>
      </c>
      <c r="V708" s="3" t="s">
        <v>10</v>
      </c>
      <c r="W708" s="463">
        <v>0</v>
      </c>
      <c r="X708" s="44">
        <f>IF(Provozování!$BE$16="Neaktivní",F708,O708)</f>
        <v>0</v>
      </c>
      <c r="Y708" s="44">
        <f>W708-X708</f>
        <v>0</v>
      </c>
      <c r="Z708" s="465">
        <v>0</v>
      </c>
      <c r="AA708" s="44">
        <f>IF(Provozování!$BE$16="Neaktivní",H708,Q708)</f>
        <v>0</v>
      </c>
      <c r="AB708" s="30">
        <f>Z708-AA708</f>
        <v>0</v>
      </c>
      <c r="AC708" s="146"/>
      <c r="AK708" s="146"/>
      <c r="AL708" s="146"/>
      <c r="AM708" s="146"/>
      <c r="AN708" s="146"/>
    </row>
    <row r="709" spans="2:40" x14ac:dyDescent="0.25">
      <c r="B709" s="9" t="s">
        <v>25</v>
      </c>
      <c r="C709" s="10" t="s">
        <v>400</v>
      </c>
      <c r="D709" s="11" t="s">
        <v>10</v>
      </c>
      <c r="E709" s="41">
        <f>SUM(E710:E711)</f>
        <v>0</v>
      </c>
      <c r="F709" s="41">
        <f>SUM(F710:F711)</f>
        <v>0</v>
      </c>
      <c r="G709" s="41">
        <f>SUM(G710:G711)</f>
        <v>0</v>
      </c>
      <c r="H709" s="86">
        <f>SUM(H710:H711)</f>
        <v>0</v>
      </c>
      <c r="K709" s="9" t="s">
        <v>25</v>
      </c>
      <c r="L709" s="10" t="s">
        <v>400</v>
      </c>
      <c r="M709" s="11" t="s">
        <v>10</v>
      </c>
      <c r="N709" s="41">
        <f>SUM(N710:N711)</f>
        <v>0</v>
      </c>
      <c r="O709" s="41">
        <f>SUM(O710:O711)</f>
        <v>0</v>
      </c>
      <c r="P709" s="41">
        <f>SUM(P710:P711)</f>
        <v>0</v>
      </c>
      <c r="Q709" s="86">
        <f>SUM(Q710:Q711)</f>
        <v>0</v>
      </c>
      <c r="T709" s="9" t="s">
        <v>25</v>
      </c>
      <c r="U709" s="10" t="s">
        <v>400</v>
      </c>
      <c r="V709" s="11" t="s">
        <v>10</v>
      </c>
      <c r="W709" s="86">
        <f t="shared" ref="W709:AB709" si="76">SUM(W710:W711)</f>
        <v>0</v>
      </c>
      <c r="X709" s="86">
        <f t="shared" si="76"/>
        <v>0</v>
      </c>
      <c r="Y709" s="86">
        <f t="shared" si="76"/>
        <v>0</v>
      </c>
      <c r="Z709" s="86">
        <f t="shared" si="76"/>
        <v>0</v>
      </c>
      <c r="AA709" s="86">
        <f t="shared" si="76"/>
        <v>0</v>
      </c>
      <c r="AB709" s="86">
        <f t="shared" si="76"/>
        <v>0</v>
      </c>
      <c r="AC709" s="146"/>
      <c r="AD709" s="146"/>
      <c r="AK709" s="146"/>
      <c r="AL709" s="146"/>
      <c r="AM709" s="146"/>
      <c r="AN709" s="146"/>
    </row>
    <row r="710" spans="2:40" x14ac:dyDescent="0.25">
      <c r="B710" s="12" t="s">
        <v>26</v>
      </c>
      <c r="C710" s="13" t="s">
        <v>390</v>
      </c>
      <c r="D710" s="3" t="s">
        <v>10</v>
      </c>
      <c r="E710" s="44">
        <v>0</v>
      </c>
      <c r="F710" s="457">
        <f>IF(YEAR(Postup!$H$25)&gt;$D$688,Provozování!BC31,IF(AND(DAY(Postup!$H$25)=31,MONTH(Postup!$H$25)=12,YEAR(Postup!$H$25)=$D$688),Provozování!BC31,IF(YEAR(Postup!$H$25)=$D$688,Provozování!$BL31,0)))</f>
        <v>0</v>
      </c>
      <c r="G710" s="44">
        <v>0</v>
      </c>
      <c r="H710" s="457">
        <f>IF(YEAR(Postup!$H$25)&gt;$D$688,Provozování!BD31,IF(AND(DAY(Postup!$H$25)=31,MONTH(Postup!$H$25)=12,YEAR(Postup!$H$25)=$D$688),Provozování!BD31,IF(YEAR(Postup!$H$25)=$D$688,Provozování!$BM31,0)))</f>
        <v>0</v>
      </c>
      <c r="K710" s="12" t="s">
        <v>26</v>
      </c>
      <c r="L710" s="13" t="s">
        <v>390</v>
      </c>
      <c r="M710" s="3" t="s">
        <v>10</v>
      </c>
      <c r="N710" s="44">
        <v>0</v>
      </c>
      <c r="O710" s="457">
        <f>IF(Provozování!$BE$16="Neaktivní",0,Provozování!BE31)</f>
        <v>0</v>
      </c>
      <c r="P710" s="44">
        <v>0</v>
      </c>
      <c r="Q710" s="457">
        <f>IF(Provozování!$BE$16="Neaktivní",0,Provozování!BF31)</f>
        <v>0</v>
      </c>
      <c r="T710" s="12" t="s">
        <v>26</v>
      </c>
      <c r="U710" s="13" t="s">
        <v>390</v>
      </c>
      <c r="V710" s="3" t="s">
        <v>10</v>
      </c>
      <c r="W710" s="462">
        <v>0</v>
      </c>
      <c r="X710" s="44">
        <f>IF(Provozování!$BE$16="Neaktivní",F710,O710)</f>
        <v>0</v>
      </c>
      <c r="Y710" s="44">
        <f>W710-X710</f>
        <v>0</v>
      </c>
      <c r="Z710" s="462">
        <v>0</v>
      </c>
      <c r="AA710" s="44">
        <f>IF(Provozování!$BE$16="Neaktivní",H710,Q710)</f>
        <v>0</v>
      </c>
      <c r="AB710" s="30">
        <f>Z710-AA710</f>
        <v>0</v>
      </c>
      <c r="AC710" s="146"/>
      <c r="AD710" s="146"/>
      <c r="AK710" s="146"/>
      <c r="AL710" s="146"/>
      <c r="AM710" s="146"/>
      <c r="AN710" s="146"/>
    </row>
    <row r="711" spans="2:40" x14ac:dyDescent="0.25">
      <c r="B711" s="12" t="s">
        <v>27</v>
      </c>
      <c r="C711" s="13" t="s">
        <v>401</v>
      </c>
      <c r="D711" s="3" t="s">
        <v>10</v>
      </c>
      <c r="E711" s="44">
        <v>0</v>
      </c>
      <c r="F711" s="457">
        <f>IF(YEAR(Postup!$H$25)&gt;$D$688,Provozování!BC32,IF(AND(DAY(Postup!$H$25)=31,MONTH(Postup!$H$25)=12,YEAR(Postup!$H$25)=$D$688),Provozování!BC32,IF(YEAR(Postup!$H$25)=$D$688,Provozování!$BL32,0)))</f>
        <v>0</v>
      </c>
      <c r="G711" s="44">
        <v>0</v>
      </c>
      <c r="H711" s="457">
        <f>IF(YEAR(Postup!$H$25)&gt;$D$688,Provozování!BD32,IF(AND(DAY(Postup!$H$25)=31,MONTH(Postup!$H$25)=12,YEAR(Postup!$H$25)=$D$688),Provozování!BD32,IF(YEAR(Postup!$H$25)=$D$688,Provozování!$BM32,0)))</f>
        <v>0</v>
      </c>
      <c r="K711" s="12" t="s">
        <v>27</v>
      </c>
      <c r="L711" s="13" t="s">
        <v>401</v>
      </c>
      <c r="M711" s="3" t="s">
        <v>10</v>
      </c>
      <c r="N711" s="44">
        <v>0</v>
      </c>
      <c r="O711" s="457">
        <f>IF(Provozování!$BE$16="Neaktivní",0,Provozování!BE32)</f>
        <v>0</v>
      </c>
      <c r="P711" s="44">
        <v>0</v>
      </c>
      <c r="Q711" s="457">
        <f>IF(Provozování!$BE$16="Neaktivní",0,Provozování!BF32)</f>
        <v>0</v>
      </c>
      <c r="T711" s="12" t="s">
        <v>27</v>
      </c>
      <c r="U711" s="13" t="s">
        <v>401</v>
      </c>
      <c r="V711" s="3" t="s">
        <v>10</v>
      </c>
      <c r="W711" s="462">
        <v>0</v>
      </c>
      <c r="X711" s="44">
        <f>IF(Provozování!$BE$16="Neaktivní",F711,O711)</f>
        <v>0</v>
      </c>
      <c r="Y711" s="44">
        <f>W711-X711</f>
        <v>0</v>
      </c>
      <c r="Z711" s="462">
        <v>0</v>
      </c>
      <c r="AA711" s="44">
        <f>IF(Provozování!$BE$16="Neaktivní",H711,Q711)</f>
        <v>0</v>
      </c>
      <c r="AB711" s="30">
        <f>Z711-AA711</f>
        <v>0</v>
      </c>
      <c r="AC711" s="146"/>
      <c r="AD711" s="146"/>
      <c r="AK711" s="146"/>
      <c r="AL711" s="146"/>
      <c r="AM711" s="146"/>
      <c r="AN711" s="146"/>
    </row>
    <row r="712" spans="2:40" x14ac:dyDescent="0.25">
      <c r="B712" s="9" t="s">
        <v>28</v>
      </c>
      <c r="C712" s="10" t="s">
        <v>29</v>
      </c>
      <c r="D712" s="11" t="s">
        <v>10</v>
      </c>
      <c r="E712" s="41">
        <f>SUM(E713:E716)</f>
        <v>0</v>
      </c>
      <c r="F712" s="41">
        <f>SUM(F713:F716)</f>
        <v>0</v>
      </c>
      <c r="G712" s="41">
        <f>SUM(G713:G716)</f>
        <v>0</v>
      </c>
      <c r="H712" s="86">
        <f>SUM(H713:H716)</f>
        <v>0</v>
      </c>
      <c r="K712" s="9" t="s">
        <v>28</v>
      </c>
      <c r="L712" s="10" t="s">
        <v>29</v>
      </c>
      <c r="M712" s="11" t="s">
        <v>10</v>
      </c>
      <c r="N712" s="41">
        <f>SUM(N713:N716)</f>
        <v>0</v>
      </c>
      <c r="O712" s="41">
        <f>SUM(O713:O716)</f>
        <v>0</v>
      </c>
      <c r="P712" s="41">
        <f>SUM(P713:P716)</f>
        <v>0</v>
      </c>
      <c r="Q712" s="86">
        <f>SUM(Q713:Q716)</f>
        <v>0</v>
      </c>
      <c r="T712" s="9" t="s">
        <v>28</v>
      </c>
      <c r="U712" s="10" t="s">
        <v>29</v>
      </c>
      <c r="V712" s="11" t="s">
        <v>10</v>
      </c>
      <c r="W712" s="86">
        <f t="shared" ref="W712:AB712" si="77">SUM(W713:W716)</f>
        <v>0</v>
      </c>
      <c r="X712" s="86">
        <f t="shared" si="77"/>
        <v>0</v>
      </c>
      <c r="Y712" s="86">
        <f t="shared" si="77"/>
        <v>0</v>
      </c>
      <c r="Z712" s="86">
        <f t="shared" si="77"/>
        <v>0</v>
      </c>
      <c r="AA712" s="86">
        <f t="shared" si="77"/>
        <v>0</v>
      </c>
      <c r="AB712" s="86">
        <f t="shared" si="77"/>
        <v>0</v>
      </c>
      <c r="AC712" s="146"/>
      <c r="AD712" s="146"/>
      <c r="AK712" s="146"/>
      <c r="AL712" s="146"/>
      <c r="AM712" s="146"/>
      <c r="AN712" s="146"/>
    </row>
    <row r="713" spans="2:40" x14ac:dyDescent="0.25">
      <c r="B713" s="12" t="s">
        <v>30</v>
      </c>
      <c r="C713" s="12" t="s">
        <v>381</v>
      </c>
      <c r="D713" s="3" t="s">
        <v>10</v>
      </c>
      <c r="E713" s="44">
        <v>0</v>
      </c>
      <c r="F713" s="336">
        <f>IF(YEAR(Postup!$H$25)&gt;$D$688,Provozování!BC34,IF(AND(DAY(Postup!$H$25)=31,MONTH(Postup!$H$25)=12,YEAR(Postup!$H$25)=$D$688),Provozování!BC34,IF(YEAR(Postup!$H$25)=$D$688,Provozování!$BL34,0)))</f>
        <v>0</v>
      </c>
      <c r="G713" s="44">
        <v>0</v>
      </c>
      <c r="H713" s="335">
        <f>IF(YEAR(Postup!$H$25)&gt;$D$688,Provozování!BD34,IF(AND(DAY(Postup!$H$25)=31,MONTH(Postup!$H$25)=12,YEAR(Postup!$H$25)=$D$688),Provozování!BD34,IF(YEAR(Postup!$H$25)=$D$688,Provozování!$BM34,0)))</f>
        <v>0</v>
      </c>
      <c r="K713" s="12" t="s">
        <v>30</v>
      </c>
      <c r="L713" s="12" t="s">
        <v>381</v>
      </c>
      <c r="M713" s="3" t="s">
        <v>10</v>
      </c>
      <c r="N713" s="44">
        <v>0</v>
      </c>
      <c r="O713" s="640">
        <f>IF(Provozování!$BE$16="Neaktivní",0,Provozování!BE34)</f>
        <v>0</v>
      </c>
      <c r="P713" s="44">
        <v>0</v>
      </c>
      <c r="Q713" s="772">
        <f>IF(Provozování!$BE$16="Neaktivní",0,Provozování!BF34)</f>
        <v>0</v>
      </c>
      <c r="T713" s="12" t="s">
        <v>30</v>
      </c>
      <c r="U713" s="12" t="s">
        <v>381</v>
      </c>
      <c r="V713" s="3" t="s">
        <v>10</v>
      </c>
      <c r="W713" s="462">
        <v>0</v>
      </c>
      <c r="X713" s="44">
        <f>IF(Provozování!$BE$16="Neaktivní",F713,O713)</f>
        <v>0</v>
      </c>
      <c r="Y713" s="44">
        <f>W713-X713</f>
        <v>0</v>
      </c>
      <c r="Z713" s="462">
        <v>0</v>
      </c>
      <c r="AA713" s="44">
        <f>IF(Provozování!$BE$16="Neaktivní",H713,Q713)</f>
        <v>0</v>
      </c>
      <c r="AB713" s="30">
        <f>Z713-AA713</f>
        <v>0</v>
      </c>
      <c r="AC713" s="146"/>
      <c r="AD713" s="146"/>
      <c r="AK713" s="146"/>
      <c r="AL713" s="146"/>
      <c r="AM713" s="146"/>
      <c r="AN713" s="146"/>
    </row>
    <row r="714" spans="2:40" x14ac:dyDescent="0.25">
      <c r="B714" s="12" t="s">
        <v>32</v>
      </c>
      <c r="C714" s="12" t="s">
        <v>383</v>
      </c>
      <c r="D714" s="3" t="s">
        <v>10</v>
      </c>
      <c r="E714" s="44">
        <v>0</v>
      </c>
      <c r="F714" s="662">
        <f>IF(YEAR(Postup!$H$25)&gt;$D$688,Provozování!BC35,IF(AND(DAY(Postup!$H$25)=31,MONTH(Postup!$H$25)=12,YEAR(Postup!$H$25)=$D$688),Provozování!BC35,IF(YEAR(Postup!$H$25)=$D$688,Provozování!$BL35,0)))</f>
        <v>0</v>
      </c>
      <c r="G714" s="44">
        <v>0</v>
      </c>
      <c r="H714" s="663">
        <f>IF(YEAR(Postup!$H$25)&gt;$D$688,Provozování!BD35,IF(AND(DAY(Postup!$H$25)=31,MONTH(Postup!$H$25)=12,YEAR(Postup!$H$25)=$D$688),Provozování!BD35,IF(YEAR(Postup!$H$25)=$D$688,Provozování!$BM35,0)))</f>
        <v>0</v>
      </c>
      <c r="K714" s="12" t="s">
        <v>32</v>
      </c>
      <c r="L714" s="12" t="s">
        <v>383</v>
      </c>
      <c r="M714" s="3" t="s">
        <v>10</v>
      </c>
      <c r="N714" s="44">
        <v>0</v>
      </c>
      <c r="O714" s="666">
        <f>IF(Provozování!$BE$16="Neaktivní",0,Provozování!BE35)</f>
        <v>0</v>
      </c>
      <c r="P714" s="44">
        <v>0</v>
      </c>
      <c r="Q714" s="669">
        <f>IF(Provozování!$BE$16="Neaktivní",0,Provozování!BF35)</f>
        <v>0</v>
      </c>
      <c r="T714" s="12" t="s">
        <v>32</v>
      </c>
      <c r="U714" s="12" t="s">
        <v>383</v>
      </c>
      <c r="V714" s="3" t="s">
        <v>10</v>
      </c>
      <c r="W714" s="640">
        <f>IF(Provozování!$BE$16="Aktivní",O714,F714)</f>
        <v>0</v>
      </c>
      <c r="X714" s="44">
        <f>IF(Provozování!$BE$16="Neaktivní",F714,O714)</f>
        <v>0</v>
      </c>
      <c r="Y714" s="44">
        <f>W714-X714</f>
        <v>0</v>
      </c>
      <c r="Z714" s="640">
        <f>IF(Provozování!$BE$16="Aktivní",Q714,H714)</f>
        <v>0</v>
      </c>
      <c r="AA714" s="44">
        <f>IF(Provozování!$BE$16="Neaktivní",H714,Q714)</f>
        <v>0</v>
      </c>
      <c r="AB714" s="30">
        <f>Z714-AA714</f>
        <v>0</v>
      </c>
      <c r="AC714" s="146"/>
      <c r="AD714" s="146"/>
      <c r="AK714" s="146"/>
      <c r="AL714" s="146"/>
      <c r="AM714" s="146"/>
      <c r="AN714" s="146"/>
    </row>
    <row r="715" spans="2:40" x14ac:dyDescent="0.25">
      <c r="B715" s="12" t="s">
        <v>33</v>
      </c>
      <c r="C715" s="12" t="s">
        <v>382</v>
      </c>
      <c r="D715" s="3" t="s">
        <v>10</v>
      </c>
      <c r="E715" s="44">
        <v>0</v>
      </c>
      <c r="F715" s="637">
        <f>IF(YEAR(Postup!$H$25)&gt;$D$688,Provozování!BC36,IF(AND(DAY(Postup!$H$25)=31,MONTH(Postup!$H$25)=12,YEAR(Postup!$H$25)=$D$688),Provozování!BC36,IF(YEAR(Postup!$H$25)=$D$688,Provozování!$BL36,0)))</f>
        <v>0</v>
      </c>
      <c r="G715" s="44">
        <v>0</v>
      </c>
      <c r="H715" s="636">
        <f>IF(YEAR(Postup!$H$25)&gt;$D$688,Provozování!BD36,IF(AND(DAY(Postup!$H$25)=31,MONTH(Postup!$H$25)=12,YEAR(Postup!$H$25)=$D$688),Provozování!BD36,IF(YEAR(Postup!$H$25)=$D$688,Provozování!$BM36,0)))</f>
        <v>0</v>
      </c>
      <c r="K715" s="12" t="s">
        <v>33</v>
      </c>
      <c r="L715" s="12" t="s">
        <v>382</v>
      </c>
      <c r="M715" s="3" t="s">
        <v>10</v>
      </c>
      <c r="N715" s="44">
        <v>0</v>
      </c>
      <c r="O715" s="640">
        <f>IF(Provozování!$BE$16="Neaktivní",0,Provozování!BE36)</f>
        <v>0</v>
      </c>
      <c r="P715" s="44">
        <v>0</v>
      </c>
      <c r="Q715" s="772">
        <f>IF(Provozování!$BE$16="Neaktivní",0,Provozování!BF36)</f>
        <v>0</v>
      </c>
      <c r="T715" s="12" t="s">
        <v>33</v>
      </c>
      <c r="U715" s="12" t="s">
        <v>382</v>
      </c>
      <c r="V715" s="3" t="s">
        <v>10</v>
      </c>
      <c r="W715" s="462">
        <v>0</v>
      </c>
      <c r="X715" s="44">
        <f>IF(Provozování!$BE$16="Neaktivní",F715,O715)</f>
        <v>0</v>
      </c>
      <c r="Y715" s="44">
        <f>W715-X715</f>
        <v>0</v>
      </c>
      <c r="Z715" s="462">
        <v>0</v>
      </c>
      <c r="AA715" s="44">
        <f>IF(Provozování!$BE$16="Neaktivní",H715,Q715)</f>
        <v>0</v>
      </c>
      <c r="AB715" s="30">
        <f>Z715-AA715</f>
        <v>0</v>
      </c>
      <c r="AC715" s="146"/>
      <c r="AD715" s="146"/>
      <c r="AK715" s="146"/>
      <c r="AL715" s="146"/>
      <c r="AM715" s="146"/>
      <c r="AN715" s="146"/>
    </row>
    <row r="716" spans="2:40" x14ac:dyDescent="0.25">
      <c r="B716" s="12" t="s">
        <v>34</v>
      </c>
      <c r="C716" s="497" t="s">
        <v>384</v>
      </c>
      <c r="D716" s="3" t="s">
        <v>10</v>
      </c>
      <c r="E716" s="44">
        <v>0</v>
      </c>
      <c r="F716" s="666">
        <f>IF(YEAR(Postup!$H$25)&gt;$D$688,Provozování!BC37,IF(AND(DAY(Postup!$H$25)=31,MONTH(Postup!$H$25)=12,YEAR(Postup!$H$25)=$D$688),Provozování!BC37,IF(YEAR(Postup!$H$25)=$D$688,Provozování!$BL37,0)))</f>
        <v>0</v>
      </c>
      <c r="G716" s="44">
        <v>0</v>
      </c>
      <c r="H716" s="667">
        <f>IF(YEAR(Postup!$H$25)&gt;$D$688,Provozování!BD37,IF(AND(DAY(Postup!$H$25)=31,MONTH(Postup!$H$25)=12,YEAR(Postup!$H$25)=$D$688),Provozování!BD37,IF(YEAR(Postup!$H$25)=$D$688,Provozování!$BM37,0)))</f>
        <v>0</v>
      </c>
      <c r="K716" s="12" t="s">
        <v>34</v>
      </c>
      <c r="L716" s="497" t="s">
        <v>384</v>
      </c>
      <c r="M716" s="3" t="s">
        <v>10</v>
      </c>
      <c r="N716" s="44">
        <v>0</v>
      </c>
      <c r="O716" s="666">
        <f>IF(Provozování!$BE$16="Neaktivní",0,Provozování!BE37)</f>
        <v>0</v>
      </c>
      <c r="P716" s="44">
        <v>0</v>
      </c>
      <c r="Q716" s="667">
        <f>IF(Provozování!$BE$16="Neaktivní",0,Provozování!BF37)</f>
        <v>0</v>
      </c>
      <c r="T716" s="12" t="s">
        <v>34</v>
      </c>
      <c r="U716" s="497" t="s">
        <v>384</v>
      </c>
      <c r="V716" s="3" t="s">
        <v>10</v>
      </c>
      <c r="W716" s="637">
        <f>IF(Provozování!$BE$16="Aktivní",O716,F716)</f>
        <v>0</v>
      </c>
      <c r="X716" s="337">
        <f>IF(Provozování!$BE$16="Neaktivní",F716,O716)</f>
        <v>0</v>
      </c>
      <c r="Y716" s="337">
        <f>W716-X716</f>
        <v>0</v>
      </c>
      <c r="Z716" s="637">
        <f>IF(Provozování!$BE$16="Aktivní",Q716,H716)</f>
        <v>0</v>
      </c>
      <c r="AA716" s="337">
        <f>IF(Provozování!$BE$16="Neaktivní",H716,Q716)</f>
        <v>0</v>
      </c>
      <c r="AB716" s="334">
        <f>Z716-AA716</f>
        <v>0</v>
      </c>
      <c r="AC716" s="146"/>
      <c r="AD716" s="146"/>
      <c r="AE716" s="1073" t="s">
        <v>291</v>
      </c>
      <c r="AF716" s="1074"/>
      <c r="AG716" s="339">
        <f>Y698</f>
        <v>2033</v>
      </c>
      <c r="AH716" s="339">
        <f>AG716</f>
        <v>2033</v>
      </c>
      <c r="AK716" s="146"/>
      <c r="AL716" s="146"/>
      <c r="AM716" s="146"/>
      <c r="AN716" s="146"/>
    </row>
    <row r="717" spans="2:40" x14ac:dyDescent="0.25">
      <c r="B717" s="9" t="s">
        <v>35</v>
      </c>
      <c r="C717" s="10" t="s">
        <v>36</v>
      </c>
      <c r="D717" s="11" t="s">
        <v>10</v>
      </c>
      <c r="E717" s="41">
        <f>SUM(E718:E720)</f>
        <v>0</v>
      </c>
      <c r="F717" s="41">
        <f>SUM(F718:F720)</f>
        <v>0</v>
      </c>
      <c r="G717" s="41">
        <f>SUM(G718:G720)</f>
        <v>0</v>
      </c>
      <c r="H717" s="86">
        <f>SUM(H718:H720)</f>
        <v>0</v>
      </c>
      <c r="K717" s="9" t="s">
        <v>35</v>
      </c>
      <c r="L717" s="10" t="s">
        <v>36</v>
      </c>
      <c r="M717" s="11" t="s">
        <v>10</v>
      </c>
      <c r="N717" s="41">
        <f>SUM(N718:N720)</f>
        <v>0</v>
      </c>
      <c r="O717" s="41">
        <f>SUM(O718:O720)</f>
        <v>0</v>
      </c>
      <c r="P717" s="41">
        <f>SUM(P718:P720)</f>
        <v>0</v>
      </c>
      <c r="Q717" s="86">
        <f>SUM(Q718:Q720)</f>
        <v>0</v>
      </c>
      <c r="T717" s="9" t="s">
        <v>35</v>
      </c>
      <c r="U717" s="10" t="s">
        <v>36</v>
      </c>
      <c r="V717" s="11" t="s">
        <v>10</v>
      </c>
      <c r="W717" s="86">
        <f t="shared" ref="W717:AB717" si="78">SUM(W718:W720)</f>
        <v>0</v>
      </c>
      <c r="X717" s="86">
        <f t="shared" si="78"/>
        <v>0</v>
      </c>
      <c r="Y717" s="86">
        <f t="shared" si="78"/>
        <v>0</v>
      </c>
      <c r="Z717" s="86">
        <f t="shared" si="78"/>
        <v>0</v>
      </c>
      <c r="AA717" s="86">
        <f t="shared" si="78"/>
        <v>0</v>
      </c>
      <c r="AB717" s="86">
        <f t="shared" si="78"/>
        <v>0</v>
      </c>
      <c r="AC717" s="146"/>
      <c r="AD717" s="146"/>
      <c r="AE717" s="1075"/>
      <c r="AF717" s="1076"/>
      <c r="AG717" s="1072" t="s">
        <v>238</v>
      </c>
      <c r="AH717" s="1072" t="s">
        <v>239</v>
      </c>
      <c r="AK717" s="146"/>
      <c r="AL717" s="146"/>
      <c r="AM717" s="146"/>
      <c r="AN717" s="146"/>
    </row>
    <row r="718" spans="2:40" x14ac:dyDescent="0.25">
      <c r="B718" s="12" t="s">
        <v>37</v>
      </c>
      <c r="C718" s="13" t="s">
        <v>38</v>
      </c>
      <c r="D718" s="3" t="s">
        <v>10</v>
      </c>
      <c r="E718" s="44">
        <v>0</v>
      </c>
      <c r="F718" s="337">
        <v>0</v>
      </c>
      <c r="G718" s="44">
        <v>0</v>
      </c>
      <c r="H718" s="30">
        <f>IF(YEAR(Postup!$H$25)&gt;$D$688,Provozování!BD39,IF(AND(DAY(Postup!$H$25)=31,MONTH(Postup!$H$25)=12,YEAR(Postup!$H$25)=$D$688),Provozování!BD39,IF(YEAR(Postup!$H$25)=$D$688,Provozování!$BM39,0)))</f>
        <v>0</v>
      </c>
      <c r="K718" s="12" t="s">
        <v>37</v>
      </c>
      <c r="L718" s="13" t="s">
        <v>38</v>
      </c>
      <c r="M718" s="3" t="s">
        <v>10</v>
      </c>
      <c r="N718" s="44">
        <v>0</v>
      </c>
      <c r="O718" s="337">
        <v>0</v>
      </c>
      <c r="P718" s="44">
        <v>0</v>
      </c>
      <c r="Q718" s="53">
        <f>IF(Provozování!$BE$16="Neaktivní",0,Provozování!BF39)</f>
        <v>0</v>
      </c>
      <c r="T718" s="12" t="s">
        <v>37</v>
      </c>
      <c r="U718" s="13" t="s">
        <v>38</v>
      </c>
      <c r="V718" s="3" t="s">
        <v>10</v>
      </c>
      <c r="W718" s="337">
        <v>0</v>
      </c>
      <c r="X718" s="337">
        <v>0</v>
      </c>
      <c r="Y718" s="337">
        <v>0</v>
      </c>
      <c r="Z718" s="462">
        <v>0</v>
      </c>
      <c r="AA718" s="44">
        <f>IF(Provozování!$BE$16="Neaktivní",H718,Q718)</f>
        <v>0</v>
      </c>
      <c r="AB718" s="30">
        <f>Z718-AA718</f>
        <v>0</v>
      </c>
      <c r="AC718" s="146"/>
      <c r="AD718" s="146"/>
      <c r="AE718" s="1077"/>
      <c r="AF718" s="1078"/>
      <c r="AG718" s="1000"/>
      <c r="AH718" s="1000"/>
      <c r="AK718" s="146"/>
      <c r="AL718" s="146"/>
      <c r="AM718" s="146"/>
      <c r="AN718" s="146"/>
    </row>
    <row r="719" spans="2:40" x14ac:dyDescent="0.25">
      <c r="B719" s="12" t="s">
        <v>39</v>
      </c>
      <c r="C719" s="12" t="s">
        <v>40</v>
      </c>
      <c r="D719" s="3" t="s">
        <v>10</v>
      </c>
      <c r="E719" s="44">
        <v>0</v>
      </c>
      <c r="F719" s="457">
        <f>IF(YEAR(Postup!$H$25)&gt;$D$688,Provozování!BC40,IF(AND(DAY(Postup!$H$25)=31,MONTH(Postup!$H$25)=12,YEAR(Postup!$H$25)=$D$688),Provozování!BC40,IF(YEAR(Postup!$H$25)=$D$688,Provozování!$BL40,0)))</f>
        <v>0</v>
      </c>
      <c r="G719" s="44">
        <v>0</v>
      </c>
      <c r="H719" s="457">
        <f>IF(YEAR(Postup!$H$25)&gt;$D$688,Provozování!BD40,IF(AND(DAY(Postup!$H$25)=31,MONTH(Postup!$H$25)=12,YEAR(Postup!$H$25)=$D$688),Provozování!BD40,IF(YEAR(Postup!$H$25)=$D$688,Provozování!$BM40,0)))</f>
        <v>0</v>
      </c>
      <c r="K719" s="12" t="s">
        <v>39</v>
      </c>
      <c r="L719" s="12" t="s">
        <v>40</v>
      </c>
      <c r="M719" s="3" t="s">
        <v>10</v>
      </c>
      <c r="N719" s="44">
        <v>0</v>
      </c>
      <c r="O719" s="457">
        <f>IF(Provozování!$BE$16="Neaktivní",0,Provozování!BE40)</f>
        <v>0</v>
      </c>
      <c r="P719" s="44">
        <v>0</v>
      </c>
      <c r="Q719" s="457">
        <f>IF(Provozování!$BE$16="Neaktivní",0,Provozování!BF40)</f>
        <v>0</v>
      </c>
      <c r="T719" s="12" t="s">
        <v>39</v>
      </c>
      <c r="U719" s="12" t="s">
        <v>40</v>
      </c>
      <c r="V719" s="3" t="s">
        <v>10</v>
      </c>
      <c r="W719" s="462">
        <v>0</v>
      </c>
      <c r="X719" s="44">
        <f>IF(Provozování!$BE$16="Neaktivní",F719,O719)</f>
        <v>0</v>
      </c>
      <c r="Y719" s="44">
        <f>W719-X719</f>
        <v>0</v>
      </c>
      <c r="Z719" s="462">
        <v>0</v>
      </c>
      <c r="AA719" s="44">
        <f>IF(Provozování!$BE$16="Neaktivní",H719,Q719)</f>
        <v>0</v>
      </c>
      <c r="AB719" s="30">
        <f>Z719-AA719</f>
        <v>0</v>
      </c>
      <c r="AC719" s="146"/>
      <c r="AD719" s="146"/>
      <c r="AE719" s="12" t="s">
        <v>326</v>
      </c>
      <c r="AF719" s="12" t="s">
        <v>329</v>
      </c>
      <c r="AG719" s="423">
        <f>Z754</f>
        <v>0</v>
      </c>
      <c r="AH719" s="423">
        <f>AB754</f>
        <v>0</v>
      </c>
      <c r="AK719" s="146"/>
      <c r="AL719" s="146"/>
      <c r="AM719" s="146"/>
      <c r="AN719" s="146"/>
    </row>
    <row r="720" spans="2:40" x14ac:dyDescent="0.25">
      <c r="B720" s="12" t="s">
        <v>41</v>
      </c>
      <c r="C720" s="13" t="s">
        <v>42</v>
      </c>
      <c r="D720" s="3" t="s">
        <v>10</v>
      </c>
      <c r="E720" s="44">
        <v>0</v>
      </c>
      <c r="F720" s="457">
        <f>IF(YEAR(Postup!$H$25)&gt;$D$688,Provozování!BC41,IF(AND(DAY(Postup!$H$25)=31,MONTH(Postup!$H$25)=12,YEAR(Postup!$H$25)=$D$688),Provozování!BC41,IF(YEAR(Postup!$H$25)=$D$688,Provozování!$BL41,0)))</f>
        <v>0</v>
      </c>
      <c r="G720" s="44">
        <v>0</v>
      </c>
      <c r="H720" s="457">
        <f>IF(YEAR(Postup!$H$25)&gt;$D$688,Provozování!BD41,IF(AND(DAY(Postup!$H$25)=31,MONTH(Postup!$H$25)=12,YEAR(Postup!$H$25)=$D$688),Provozování!BD41,IF(YEAR(Postup!$H$25)=$D$688,Provozování!$BM41,0)))</f>
        <v>0</v>
      </c>
      <c r="K720" s="12" t="s">
        <v>41</v>
      </c>
      <c r="L720" s="13" t="s">
        <v>42</v>
      </c>
      <c r="M720" s="3" t="s">
        <v>10</v>
      </c>
      <c r="N720" s="44">
        <v>0</v>
      </c>
      <c r="O720" s="457">
        <f>IF(Provozování!$BE$16="Neaktivní",0,Provozování!BE41)</f>
        <v>0</v>
      </c>
      <c r="P720" s="44">
        <v>0</v>
      </c>
      <c r="Q720" s="457">
        <f>IF(Provozování!$BE$16="Neaktivní",0,Provozování!BF41)</f>
        <v>0</v>
      </c>
      <c r="T720" s="12" t="s">
        <v>41</v>
      </c>
      <c r="U720" s="13" t="s">
        <v>42</v>
      </c>
      <c r="V720" s="3" t="s">
        <v>10</v>
      </c>
      <c r="W720" s="462">
        <v>0</v>
      </c>
      <c r="X720" s="44">
        <f>IF(Provozování!$BE$16="Neaktivní",F720,O720)</f>
        <v>0</v>
      </c>
      <c r="Y720" s="44">
        <f>W720-X720</f>
        <v>0</v>
      </c>
      <c r="Z720" s="462">
        <v>0</v>
      </c>
      <c r="AA720" s="44">
        <f>IF(Provozování!$BE$16="Neaktivní",H720,Q720)</f>
        <v>0</v>
      </c>
      <c r="AB720" s="30">
        <f>Z720-AA720</f>
        <v>0</v>
      </c>
      <c r="AC720" s="146"/>
      <c r="AD720" s="146"/>
      <c r="AE720" s="12" t="s">
        <v>327</v>
      </c>
      <c r="AF720" s="13" t="s">
        <v>331</v>
      </c>
      <c r="AG720" s="270">
        <f>Y753</f>
        <v>0</v>
      </c>
      <c r="AH720" s="270">
        <f>AA753</f>
        <v>0</v>
      </c>
      <c r="AK720" s="146"/>
      <c r="AL720" s="146"/>
      <c r="AM720" s="146"/>
      <c r="AN720" s="146"/>
    </row>
    <row r="721" spans="2:40" x14ac:dyDescent="0.25">
      <c r="B721" s="9" t="s">
        <v>43</v>
      </c>
      <c r="C721" s="10" t="s">
        <v>44</v>
      </c>
      <c r="D721" s="11" t="s">
        <v>10</v>
      </c>
      <c r="E721" s="44">
        <v>0</v>
      </c>
      <c r="F721" s="456">
        <f>IF(YEAR(Postup!$H$25)&gt;$D$688,Provozování!BC42,IF(AND(DAY(Postup!$H$25)=31,MONTH(Postup!$H$25)=12,YEAR(Postup!$H$25)=$D$688),Provozování!BC42,IF(YEAR(Postup!$H$25)=$D$688,Provozování!$BL42,0)))</f>
        <v>0</v>
      </c>
      <c r="G721" s="44">
        <v>0</v>
      </c>
      <c r="H721" s="457">
        <f>IF(YEAR(Postup!$H$25)&gt;$D$688,Provozování!BD42,IF(AND(DAY(Postup!$H$25)=31,MONTH(Postup!$H$25)=12,YEAR(Postup!$H$25)=$D$688),Provozování!BD42,IF(YEAR(Postup!$H$25)=$D$688,Provozování!$BM42,0)))</f>
        <v>0</v>
      </c>
      <c r="K721" s="9" t="s">
        <v>43</v>
      </c>
      <c r="L721" s="10" t="s">
        <v>44</v>
      </c>
      <c r="M721" s="11" t="s">
        <v>10</v>
      </c>
      <c r="N721" s="44">
        <v>0</v>
      </c>
      <c r="O721" s="456">
        <f>IF(Provozování!$BE$16="Neaktivní",0,Provozování!BE42)</f>
        <v>0</v>
      </c>
      <c r="P721" s="44">
        <v>0</v>
      </c>
      <c r="Q721" s="461">
        <f>IF(Provozování!$BE$16="Neaktivní",0,Provozování!BF42)</f>
        <v>0</v>
      </c>
      <c r="T721" s="9" t="s">
        <v>43</v>
      </c>
      <c r="U721" s="10" t="s">
        <v>44</v>
      </c>
      <c r="V721" s="11" t="s">
        <v>10</v>
      </c>
      <c r="W721" s="462">
        <v>0</v>
      </c>
      <c r="X721" s="44">
        <f>IF(Provozování!$BE$16="Neaktivní",F721,O721)</f>
        <v>0</v>
      </c>
      <c r="Y721" s="44">
        <f>W721-X721</f>
        <v>0</v>
      </c>
      <c r="Z721" s="462">
        <v>0</v>
      </c>
      <c r="AA721" s="44">
        <f>IF(Provozování!$BE$16="Neaktivní",H721,Q721)</f>
        <v>0</v>
      </c>
      <c r="AB721" s="30">
        <f>Z721-AA721</f>
        <v>0</v>
      </c>
      <c r="AC721" s="146"/>
      <c r="AD721" s="146"/>
      <c r="AE721" s="12" t="s">
        <v>328</v>
      </c>
      <c r="AF721" s="13" t="s">
        <v>330</v>
      </c>
      <c r="AG721" s="270">
        <f>Z753</f>
        <v>0</v>
      </c>
      <c r="AH721" s="270">
        <f>AB753</f>
        <v>0</v>
      </c>
      <c r="AK721" s="146"/>
      <c r="AL721" s="146"/>
      <c r="AM721" s="146"/>
      <c r="AN721" s="146"/>
    </row>
    <row r="722" spans="2:40" x14ac:dyDescent="0.25">
      <c r="B722" s="9" t="s">
        <v>45</v>
      </c>
      <c r="C722" s="10" t="s">
        <v>388</v>
      </c>
      <c r="D722" s="11" t="s">
        <v>10</v>
      </c>
      <c r="E722" s="44">
        <v>0</v>
      </c>
      <c r="F722" s="456">
        <f>IF(YEAR(Postup!$H$25)&gt;$D$688,Provozování!BC43,IF(AND(DAY(Postup!$H$25)=31,MONTH(Postup!$H$25)=12,YEAR(Postup!$H$25)=$D$688),Provozování!BC43,IF(YEAR(Postup!$H$25)=$D$688,Provozování!$BL43,0)))</f>
        <v>0</v>
      </c>
      <c r="G722" s="44">
        <v>0</v>
      </c>
      <c r="H722" s="457">
        <f>IF(YEAR(Postup!$H$25)&gt;$D$688,Provozování!BD43,IF(AND(DAY(Postup!$H$25)=31,MONTH(Postup!$H$25)=12,YEAR(Postup!$H$25)=$D$688),Provozování!BD43,IF(YEAR(Postup!$H$25)=$D$688,Provozování!$BM43,0)))</f>
        <v>0</v>
      </c>
      <c r="K722" s="9" t="s">
        <v>45</v>
      </c>
      <c r="L722" s="10" t="s">
        <v>388</v>
      </c>
      <c r="M722" s="11" t="s">
        <v>10</v>
      </c>
      <c r="N722" s="44">
        <v>0</v>
      </c>
      <c r="O722" s="456">
        <f>IF(Provozování!$BE$16="Neaktivní",0,Provozování!BE43)</f>
        <v>0</v>
      </c>
      <c r="P722" s="44">
        <v>0</v>
      </c>
      <c r="Q722" s="461">
        <f>IF(Provozování!$BE$16="Neaktivní",0,Provozování!BF43)</f>
        <v>0</v>
      </c>
      <c r="T722" s="9" t="s">
        <v>45</v>
      </c>
      <c r="U722" s="10" t="s">
        <v>388</v>
      </c>
      <c r="V722" s="11" t="s">
        <v>10</v>
      </c>
      <c r="W722" s="462">
        <v>0</v>
      </c>
      <c r="X722" s="44">
        <f>IF(Provozování!$BE$16="Neaktivní",F722,O722)</f>
        <v>0</v>
      </c>
      <c r="Y722" s="44">
        <f>ABS(W722)-ABS(X722)</f>
        <v>0</v>
      </c>
      <c r="Z722" s="462">
        <v>0</v>
      </c>
      <c r="AA722" s="44">
        <f>IF(Provozování!$BE$16="Neaktivní",H722,Q722)</f>
        <v>0</v>
      </c>
      <c r="AB722" s="30">
        <f>ABS(Z722)-ABS(AA722)</f>
        <v>0</v>
      </c>
      <c r="AC722" s="146"/>
      <c r="AD722" s="146"/>
      <c r="AE722" s="12" t="s">
        <v>332</v>
      </c>
      <c r="AF722" s="12" t="s">
        <v>340</v>
      </c>
      <c r="AG722" s="270">
        <f>X726-(X714+X716)</f>
        <v>0</v>
      </c>
      <c r="AH722" s="270">
        <f>AA726-(AA714+AA716)</f>
        <v>0</v>
      </c>
      <c r="AK722" s="146"/>
      <c r="AL722" s="146"/>
      <c r="AM722" s="146"/>
      <c r="AN722" s="146"/>
    </row>
    <row r="723" spans="2:40" x14ac:dyDescent="0.25">
      <c r="B723" s="9" t="s">
        <v>46</v>
      </c>
      <c r="C723" s="10" t="s">
        <v>47</v>
      </c>
      <c r="D723" s="11" t="s">
        <v>10</v>
      </c>
      <c r="E723" s="44">
        <v>0</v>
      </c>
      <c r="F723" s="457">
        <f>IF(YEAR(Postup!$H$25)&gt;$D$688,Provozování!BC44,IF(AND(DAY(Postup!$H$25)=31,MONTH(Postup!$H$25)=12,YEAR(Postup!$H$25)=$D$688),Provozování!BC44,IF(YEAR(Postup!$H$25)=$D$688,Provozování!$BL44,0)))</f>
        <v>0</v>
      </c>
      <c r="G723" s="44">
        <v>0</v>
      </c>
      <c r="H723" s="457">
        <f>IF(YEAR(Postup!$H$25)&gt;$D$688,Provozování!BD44,IF(AND(DAY(Postup!$H$25)=31,MONTH(Postup!$H$25)=12,YEAR(Postup!$H$25)=$D$688),Provozování!BD44,IF(YEAR(Postup!$H$25)=$D$688,Provozování!$BM44,0)))</f>
        <v>0</v>
      </c>
      <c r="K723" s="9" t="s">
        <v>46</v>
      </c>
      <c r="L723" s="10" t="s">
        <v>47</v>
      </c>
      <c r="M723" s="11" t="s">
        <v>10</v>
      </c>
      <c r="N723" s="44">
        <v>0</v>
      </c>
      <c r="O723" s="457">
        <f>IF(Provozování!$BE$16="Neaktivní",0,Provozování!BE44)</f>
        <v>0</v>
      </c>
      <c r="P723" s="44">
        <v>0</v>
      </c>
      <c r="Q723" s="457">
        <f>IF(Provozování!$BE$16="Neaktivní",0,Provozování!BF44)</f>
        <v>0</v>
      </c>
      <c r="T723" s="9" t="s">
        <v>46</v>
      </c>
      <c r="U723" s="10" t="s">
        <v>47</v>
      </c>
      <c r="V723" s="11" t="s">
        <v>10</v>
      </c>
      <c r="W723" s="462">
        <v>0</v>
      </c>
      <c r="X723" s="44">
        <f>IF(Provozování!$BE$16="Neaktivní",F723,O723)</f>
        <v>0</v>
      </c>
      <c r="Y723" s="44">
        <f>W723-X723</f>
        <v>0</v>
      </c>
      <c r="Z723" s="462">
        <v>0</v>
      </c>
      <c r="AA723" s="44">
        <f>IF(Provozování!$BE$16="Neaktivní",H723,Q723)</f>
        <v>0</v>
      </c>
      <c r="AB723" s="30">
        <f>Z723-AA723</f>
        <v>0</v>
      </c>
      <c r="AC723" s="146"/>
      <c r="AD723" s="146"/>
      <c r="AE723" s="12" t="s">
        <v>333</v>
      </c>
      <c r="AF723" s="12" t="s">
        <v>339</v>
      </c>
      <c r="AG723" s="270">
        <f>W726-(W714+W716)</f>
        <v>0</v>
      </c>
      <c r="AH723" s="270">
        <f>Z726-(Z714+Z716)</f>
        <v>0</v>
      </c>
      <c r="AK723" s="146"/>
      <c r="AL723" s="146"/>
      <c r="AM723" s="146"/>
      <c r="AN723" s="146"/>
    </row>
    <row r="724" spans="2:40" x14ac:dyDescent="0.25">
      <c r="B724" s="9" t="s">
        <v>48</v>
      </c>
      <c r="C724" s="10" t="s">
        <v>49</v>
      </c>
      <c r="D724" s="11" t="s">
        <v>10</v>
      </c>
      <c r="E724" s="44">
        <v>0</v>
      </c>
      <c r="F724" s="457">
        <f>IF(YEAR(Postup!$H$25)&gt;$D$688,Provozování!BC45,IF(AND(DAY(Postup!$H$25)=31,MONTH(Postup!$H$25)=12,YEAR(Postup!$H$25)=$D$688),Provozování!BC45,IF(YEAR(Postup!$H$25)=$D$688,Provozování!$BL45,0)))</f>
        <v>0</v>
      </c>
      <c r="G724" s="44">
        <v>0</v>
      </c>
      <c r="H724" s="457">
        <f>IF(YEAR(Postup!$H$25)&gt;$D$688,Provozování!BD45,IF(AND(DAY(Postup!$H$25)=31,MONTH(Postup!$H$25)=12,YEAR(Postup!$H$25)=$D$688),Provozování!BD45,IF(YEAR(Postup!$H$25)=$D$688,Provozování!$BM45,0)))</f>
        <v>0</v>
      </c>
      <c r="K724" s="9" t="s">
        <v>48</v>
      </c>
      <c r="L724" s="10" t="s">
        <v>49</v>
      </c>
      <c r="M724" s="11" t="s">
        <v>10</v>
      </c>
      <c r="N724" s="44">
        <v>0</v>
      </c>
      <c r="O724" s="457">
        <f>IF(Provozování!$BE$16="Neaktivní",0,Provozování!BE45)</f>
        <v>0</v>
      </c>
      <c r="P724" s="44">
        <v>0</v>
      </c>
      <c r="Q724" s="457">
        <f>IF(Provozování!$BE$16="Neaktivní",0,Provozování!BF45)</f>
        <v>0</v>
      </c>
      <c r="T724" s="9" t="s">
        <v>48</v>
      </c>
      <c r="U724" s="10" t="s">
        <v>49</v>
      </c>
      <c r="V724" s="11" t="s">
        <v>10</v>
      </c>
      <c r="W724" s="462">
        <v>0</v>
      </c>
      <c r="X724" s="44">
        <f>IF(Provozování!$BE$16="Neaktivní",F724,O724)</f>
        <v>0</v>
      </c>
      <c r="Y724" s="44">
        <f>W724-X724</f>
        <v>0</v>
      </c>
      <c r="Z724" s="462">
        <v>0</v>
      </c>
      <c r="AA724" s="44">
        <f>IF(Provozování!$BE$16="Neaktivní",H724,Q724)</f>
        <v>0</v>
      </c>
      <c r="AB724" s="30">
        <f>Z724-AA724</f>
        <v>0</v>
      </c>
      <c r="AC724" s="146"/>
      <c r="AD724" s="146"/>
      <c r="AE724" s="12" t="s">
        <v>345</v>
      </c>
      <c r="AF724" s="12" t="s">
        <v>346</v>
      </c>
      <c r="AG724" s="270">
        <f>Provozování!BC$102</f>
        <v>0</v>
      </c>
      <c r="AH724" s="270">
        <f>Provozování!BD$102</f>
        <v>0</v>
      </c>
      <c r="AK724" s="146"/>
      <c r="AL724" s="146"/>
      <c r="AM724" s="146"/>
      <c r="AN724" s="146"/>
    </row>
    <row r="725" spans="2:40" x14ac:dyDescent="0.25">
      <c r="B725" s="9" t="s">
        <v>386</v>
      </c>
      <c r="C725" s="9" t="s">
        <v>385</v>
      </c>
      <c r="D725" s="11" t="s">
        <v>10</v>
      </c>
      <c r="E725" s="44"/>
      <c r="F725" s="456">
        <f>Provozování!BC46</f>
        <v>0.02</v>
      </c>
      <c r="G725" s="44"/>
      <c r="H725" s="457">
        <f>Provozování!BD46</f>
        <v>0.02</v>
      </c>
      <c r="K725" s="9" t="s">
        <v>386</v>
      </c>
      <c r="L725" s="9" t="s">
        <v>385</v>
      </c>
      <c r="M725" s="11" t="s">
        <v>10</v>
      </c>
      <c r="N725" s="44"/>
      <c r="O725" s="456">
        <f>IF(Provozování!$BE$16="Neaktivní",0,Provozování!BE46)</f>
        <v>0</v>
      </c>
      <c r="P725" s="44"/>
      <c r="Q725" s="457">
        <f>IF(Provozování!$BE$16="Neaktivní",0,Provozování!BF46)</f>
        <v>0</v>
      </c>
      <c r="T725" s="9" t="s">
        <v>386</v>
      </c>
      <c r="U725" s="9" t="s">
        <v>385</v>
      </c>
      <c r="V725" s="11" t="s">
        <v>10</v>
      </c>
      <c r="W725" s="462">
        <v>0</v>
      </c>
      <c r="X725" s="44"/>
      <c r="Y725" s="44"/>
      <c r="Z725" s="462">
        <v>0</v>
      </c>
      <c r="AA725" s="44"/>
      <c r="AB725" s="30"/>
      <c r="AC725" s="146"/>
      <c r="AD725" s="146"/>
      <c r="AE725" s="435" t="s">
        <v>349</v>
      </c>
      <c r="AF725" s="436"/>
      <c r="AG725" s="1066">
        <f>(AG719*AG720-AG719*AG721)+(AG722-AG723)-AG724</f>
        <v>0</v>
      </c>
      <c r="AH725" s="1066">
        <f>(AH719*AH720-AH719*AH721)+(AH722-AH723)-AH724</f>
        <v>0</v>
      </c>
      <c r="AK725" s="146"/>
      <c r="AL725" s="146"/>
      <c r="AM725" s="146"/>
      <c r="AN725" s="146"/>
    </row>
    <row r="726" spans="2:40" x14ac:dyDescent="0.25">
      <c r="B726" s="9" t="s">
        <v>50</v>
      </c>
      <c r="C726" s="10" t="s">
        <v>391</v>
      </c>
      <c r="D726" s="11" t="s">
        <v>10</v>
      </c>
      <c r="E726" s="41">
        <f>E701+E706+E709+E712+E717+E721+E722+E723+E724</f>
        <v>0</v>
      </c>
      <c r="F726" s="41">
        <f>F701+F706+F709+F712+F717+F721+F722+F723+F724</f>
        <v>0</v>
      </c>
      <c r="G726" s="41">
        <f>G701+G706+G709+G712+G717+G721+G722+G723+G724</f>
        <v>0</v>
      </c>
      <c r="H726" s="86">
        <f>H701+H706+H709+H712+H717+H721+H722+H723+H724</f>
        <v>0</v>
      </c>
      <c r="K726" s="9" t="s">
        <v>50</v>
      </c>
      <c r="L726" s="10" t="s">
        <v>391</v>
      </c>
      <c r="M726" s="11" t="s">
        <v>10</v>
      </c>
      <c r="N726" s="41">
        <f>N701+N706+N709+N712+N717+N721+N722+N723+N724</f>
        <v>0</v>
      </c>
      <c r="O726" s="41">
        <f>O701+O706+O709+O712+O717+O721+O722+O723+O724</f>
        <v>0</v>
      </c>
      <c r="P726" s="41">
        <f>P701+P706+P709+P712+P717+P721+P722+P723+P724</f>
        <v>0</v>
      </c>
      <c r="Q726" s="86">
        <f>Q701+Q706+Q709+Q712+Q717+Q721+Q722+Q723+Q724</f>
        <v>0</v>
      </c>
      <c r="T726" s="9" t="s">
        <v>50</v>
      </c>
      <c r="U726" s="10" t="s">
        <v>391</v>
      </c>
      <c r="V726" s="11" t="s">
        <v>10</v>
      </c>
      <c r="W726" s="41">
        <f t="shared" ref="W726:AB726" si="79">W701+W706+W709+W712+W717+W721+W722+W723+W724</f>
        <v>0</v>
      </c>
      <c r="X726" s="41">
        <f t="shared" si="79"/>
        <v>0</v>
      </c>
      <c r="Y726" s="41">
        <f t="shared" si="79"/>
        <v>0</v>
      </c>
      <c r="Z726" s="41">
        <f t="shared" si="79"/>
        <v>0</v>
      </c>
      <c r="AA726" s="41">
        <f t="shared" si="79"/>
        <v>0</v>
      </c>
      <c r="AB726" s="86">
        <f t="shared" si="79"/>
        <v>0</v>
      </c>
      <c r="AC726" s="146"/>
      <c r="AD726" s="146"/>
      <c r="AE726" s="425" t="s">
        <v>347</v>
      </c>
      <c r="AF726" s="424"/>
      <c r="AG726" s="1067"/>
      <c r="AH726" s="1067"/>
      <c r="AK726" s="146"/>
      <c r="AL726" s="146"/>
      <c r="AM726" s="146"/>
      <c r="AN726" s="146"/>
    </row>
    <row r="727" spans="2:40" hidden="1" x14ac:dyDescent="0.25">
      <c r="B727" s="12" t="s">
        <v>389</v>
      </c>
      <c r="C727" s="13" t="s">
        <v>96</v>
      </c>
      <c r="D727" s="3" t="s">
        <v>10</v>
      </c>
      <c r="E727" s="329">
        <v>0</v>
      </c>
      <c r="F727" s="458">
        <f>F651</f>
        <v>0</v>
      </c>
      <c r="G727" s="329">
        <v>0</v>
      </c>
      <c r="H727" s="460">
        <f>H651</f>
        <v>0</v>
      </c>
      <c r="K727" s="12" t="s">
        <v>389</v>
      </c>
      <c r="L727" s="13" t="s">
        <v>96</v>
      </c>
      <c r="M727" s="3" t="s">
        <v>10</v>
      </c>
      <c r="N727" s="329">
        <v>0</v>
      </c>
      <c r="O727" s="329">
        <f>IF(Provozování!$V$16="Neaktivní",0,F727)</f>
        <v>0</v>
      </c>
      <c r="P727" s="329">
        <v>0</v>
      </c>
      <c r="Q727" s="330">
        <f>IF(Provozování!$V$16="Neaktivní",0,H727)</f>
        <v>0</v>
      </c>
      <c r="T727" s="42" t="s">
        <v>389</v>
      </c>
      <c r="U727" s="13" t="s">
        <v>96</v>
      </c>
      <c r="V727" s="3" t="s">
        <v>10</v>
      </c>
      <c r="W727" s="458">
        <v>0</v>
      </c>
      <c r="X727" s="329">
        <f>F727</f>
        <v>0</v>
      </c>
      <c r="Y727" s="329">
        <f>W727-X727</f>
        <v>0</v>
      </c>
      <c r="Z727" s="458">
        <v>0</v>
      </c>
      <c r="AA727" s="329">
        <f>H727</f>
        <v>0</v>
      </c>
      <c r="AB727" s="330">
        <f>Z727-AA727</f>
        <v>0</v>
      </c>
      <c r="AC727" s="146"/>
      <c r="AD727" s="146"/>
      <c r="AK727" s="146"/>
      <c r="AL727" s="146"/>
      <c r="AM727" s="146"/>
      <c r="AN727" s="146"/>
    </row>
    <row r="728" spans="2:40" hidden="1" x14ac:dyDescent="0.25">
      <c r="B728" s="12" t="s">
        <v>389</v>
      </c>
      <c r="C728" s="13" t="s">
        <v>97</v>
      </c>
      <c r="D728" s="3" t="s">
        <v>10</v>
      </c>
      <c r="E728" s="329">
        <v>0</v>
      </c>
      <c r="F728" s="458">
        <f>F652</f>
        <v>0</v>
      </c>
      <c r="G728" s="329">
        <v>0</v>
      </c>
      <c r="H728" s="460">
        <f>H652</f>
        <v>0</v>
      </c>
      <c r="K728" s="12" t="s">
        <v>389</v>
      </c>
      <c r="L728" s="13" t="s">
        <v>97</v>
      </c>
      <c r="M728" s="3" t="s">
        <v>10</v>
      </c>
      <c r="N728" s="329">
        <v>0</v>
      </c>
      <c r="O728" s="329">
        <f>IF(Provozování!$V$16="Neaktivní",0,F728)</f>
        <v>0</v>
      </c>
      <c r="P728" s="329">
        <v>0</v>
      </c>
      <c r="Q728" s="330">
        <f>IF(Provozování!$V$16="Neaktivní",0,H728)</f>
        <v>0</v>
      </c>
      <c r="T728" s="12" t="s">
        <v>389</v>
      </c>
      <c r="U728" s="13" t="s">
        <v>97</v>
      </c>
      <c r="V728" s="3" t="s">
        <v>10</v>
      </c>
      <c r="W728" s="458">
        <v>0</v>
      </c>
      <c r="X728" s="329">
        <f>F728</f>
        <v>0</v>
      </c>
      <c r="Y728" s="329">
        <f>W728-X728</f>
        <v>0</v>
      </c>
      <c r="Z728" s="458">
        <v>0</v>
      </c>
      <c r="AA728" s="329">
        <f>H728</f>
        <v>0</v>
      </c>
      <c r="AB728" s="330">
        <f>Z728-AA728</f>
        <v>0</v>
      </c>
      <c r="AC728" s="146"/>
      <c r="AD728" s="146"/>
      <c r="AK728" s="146"/>
      <c r="AL728" s="146"/>
      <c r="AM728" s="146"/>
      <c r="AN728" s="146"/>
    </row>
    <row r="729" spans="2:40" x14ac:dyDescent="0.25">
      <c r="B729" s="12" t="s">
        <v>51</v>
      </c>
      <c r="C729" s="13" t="s">
        <v>54</v>
      </c>
      <c r="D729" s="3" t="s">
        <v>55</v>
      </c>
      <c r="E729" s="331">
        <v>0</v>
      </c>
      <c r="F729" s="459">
        <f>F653</f>
        <v>0</v>
      </c>
      <c r="G729" s="331">
        <v>0</v>
      </c>
      <c r="H729" s="459">
        <f>H653</f>
        <v>0</v>
      </c>
      <c r="K729" s="12" t="s">
        <v>51</v>
      </c>
      <c r="L729" s="13" t="s">
        <v>54</v>
      </c>
      <c r="M729" s="3" t="s">
        <v>55</v>
      </c>
      <c r="N729" s="331">
        <v>0</v>
      </c>
      <c r="O729" s="331">
        <f>IF(Provozování!$V$16="Neaktivní",0,F729)</f>
        <v>0</v>
      </c>
      <c r="P729" s="331">
        <v>0</v>
      </c>
      <c r="Q729" s="332">
        <f>IF(Provozování!$V$16="Neaktivní",0,H729)</f>
        <v>0</v>
      </c>
      <c r="T729" s="12" t="s">
        <v>51</v>
      </c>
      <c r="U729" s="13" t="s">
        <v>54</v>
      </c>
      <c r="V729" s="3" t="s">
        <v>55</v>
      </c>
      <c r="W729" s="466">
        <v>0</v>
      </c>
      <c r="X729" s="331">
        <f>F729</f>
        <v>0</v>
      </c>
      <c r="Y729" s="332">
        <f>W729-X729</f>
        <v>0</v>
      </c>
      <c r="Z729" s="466">
        <v>0</v>
      </c>
      <c r="AA729" s="331">
        <f>H729</f>
        <v>0</v>
      </c>
      <c r="AB729" s="332">
        <f>Z729-AA729</f>
        <v>0</v>
      </c>
      <c r="AC729" s="146"/>
      <c r="AD729" s="146"/>
      <c r="AE729" s="1068" t="s">
        <v>337</v>
      </c>
      <c r="AF729" s="1069"/>
      <c r="AG729" s="1072" t="str">
        <f>IF(AG725&gt;0,"úspora",IF(AG725&lt;0,"ztráta provozovatele","-"))</f>
        <v>-</v>
      </c>
      <c r="AH729" s="1072" t="str">
        <f>IF(AH725&gt;0,"úspora",IF(AH725&lt;0,"ztráta provozovatele","-"))</f>
        <v>-</v>
      </c>
      <c r="AK729" s="146"/>
      <c r="AL729" s="146"/>
      <c r="AM729" s="146"/>
      <c r="AN729" s="146"/>
    </row>
    <row r="730" spans="2:40" x14ac:dyDescent="0.25">
      <c r="B730" s="12" t="s">
        <v>52</v>
      </c>
      <c r="C730" s="13" t="s">
        <v>57</v>
      </c>
      <c r="D730" s="3" t="s">
        <v>58</v>
      </c>
      <c r="E730" s="44">
        <v>0</v>
      </c>
      <c r="F730" s="44">
        <f>IF(YEAR(Postup!$H$25)&gt;$D$688,Provozování!BC49,IF(AND(DAY(Postup!$H$25)=31,MONTH(Postup!$H$25)=12,YEAR(Postup!$H$25)=$D$688),Provozování!BC49,IF(YEAR(Postup!$H$25)=$D$688,Provozování!$BL49,0)))</f>
        <v>0</v>
      </c>
      <c r="G730" s="44">
        <v>0</v>
      </c>
      <c r="H730" s="334">
        <v>0</v>
      </c>
      <c r="K730" s="12" t="s">
        <v>52</v>
      </c>
      <c r="L730" s="13" t="s">
        <v>57</v>
      </c>
      <c r="M730" s="3" t="s">
        <v>58</v>
      </c>
      <c r="N730" s="44">
        <v>0</v>
      </c>
      <c r="O730" s="44">
        <f>IF(Provozování!$BE$16="Neaktivní",0,Provozování!BE49)</f>
        <v>0</v>
      </c>
      <c r="P730" s="44">
        <v>0</v>
      </c>
      <c r="Q730" s="334">
        <v>0</v>
      </c>
      <c r="T730" s="12" t="s">
        <v>52</v>
      </c>
      <c r="U730" s="13" t="s">
        <v>57</v>
      </c>
      <c r="V730" s="3" t="s">
        <v>58</v>
      </c>
      <c r="W730" s="462">
        <v>0</v>
      </c>
      <c r="X730" s="44">
        <f>IF(Provozování!$BE$16="Neaktivní",F730,O730)</f>
        <v>0</v>
      </c>
      <c r="Y730" s="44">
        <f>W730-X730</f>
        <v>0</v>
      </c>
      <c r="Z730" s="337">
        <v>0</v>
      </c>
      <c r="AA730" s="337">
        <v>0</v>
      </c>
      <c r="AB730" s="334">
        <v>0</v>
      </c>
      <c r="AC730" s="146"/>
      <c r="AD730" s="146"/>
      <c r="AE730" s="1070"/>
      <c r="AF730" s="1071"/>
      <c r="AG730" s="1000"/>
      <c r="AH730" s="1000"/>
      <c r="AK730" s="146"/>
      <c r="AL730" s="146"/>
      <c r="AM730" s="146"/>
      <c r="AN730" s="146"/>
    </row>
    <row r="731" spans="2:40" x14ac:dyDescent="0.25">
      <c r="B731" s="12" t="s">
        <v>53</v>
      </c>
      <c r="C731" s="13" t="s">
        <v>60</v>
      </c>
      <c r="D731" s="3" t="s">
        <v>58</v>
      </c>
      <c r="E731" s="44">
        <v>0</v>
      </c>
      <c r="F731" s="44">
        <f>IF(YEAR(Postup!$H$25)&gt;$D$688,Provozování!BC50,IF(AND(DAY(Postup!$H$25)=31,MONTH(Postup!$H$25)=12,YEAR(Postup!$H$25)=$D$688),Provozování!BC50,IF(YEAR(Postup!$H$25)=$D$688,Provozování!$BL50,0)))</f>
        <v>0</v>
      </c>
      <c r="G731" s="44">
        <v>0</v>
      </c>
      <c r="H731" s="334">
        <v>0</v>
      </c>
      <c r="K731" s="12" t="s">
        <v>53</v>
      </c>
      <c r="L731" s="13" t="s">
        <v>60</v>
      </c>
      <c r="M731" s="3" t="s">
        <v>58</v>
      </c>
      <c r="N731" s="44">
        <v>0</v>
      </c>
      <c r="O731" s="44">
        <f>IF(Provozování!$BE$16="Neaktivní",0,Provozování!BE50)</f>
        <v>0</v>
      </c>
      <c r="P731" s="44">
        <v>0</v>
      </c>
      <c r="Q731" s="334">
        <v>0</v>
      </c>
      <c r="T731" s="12" t="s">
        <v>53</v>
      </c>
      <c r="U731" s="13" t="s">
        <v>60</v>
      </c>
      <c r="V731" s="3" t="s">
        <v>58</v>
      </c>
      <c r="W731" s="462">
        <v>0</v>
      </c>
      <c r="X731" s="44">
        <f>IF(Provozování!$BE$16="Neaktivní",F731,O731)</f>
        <v>0</v>
      </c>
      <c r="Y731" s="44">
        <f>W731-X731</f>
        <v>0</v>
      </c>
      <c r="Z731" s="337">
        <v>0</v>
      </c>
      <c r="AA731" s="337">
        <v>0</v>
      </c>
      <c r="AB731" s="334">
        <v>0</v>
      </c>
      <c r="AC731" s="146"/>
      <c r="AD731" s="146"/>
      <c r="AE731" s="414" t="s">
        <v>343</v>
      </c>
      <c r="AF731" s="414"/>
      <c r="AG731" s="344">
        <f>IF(AG725&gt;0,AG725/AG722,0)</f>
        <v>0</v>
      </c>
      <c r="AH731" s="344">
        <f>IF(AH725&gt;0,AH725/AH722,0)</f>
        <v>0</v>
      </c>
      <c r="AK731" s="146"/>
      <c r="AL731" s="146"/>
      <c r="AM731" s="146"/>
      <c r="AN731" s="146"/>
    </row>
    <row r="732" spans="2:40" x14ac:dyDescent="0.25">
      <c r="B732" s="12" t="s">
        <v>56</v>
      </c>
      <c r="C732" s="13" t="s">
        <v>62</v>
      </c>
      <c r="D732" s="3" t="s">
        <v>58</v>
      </c>
      <c r="E732" s="44">
        <v>0</v>
      </c>
      <c r="F732" s="337">
        <v>0</v>
      </c>
      <c r="G732" s="44">
        <v>0</v>
      </c>
      <c r="H732" s="30">
        <f>IF(YEAR(Postup!$H$25)&gt;$D$688,Provozování!BD51,IF(AND(DAY(Postup!$H$25)=31,MONTH(Postup!$H$25)=12,YEAR(Postup!$H$25)=$D$688),Provozování!BD51,IF(YEAR(Postup!$H$25)=$D$688,Provozování!$BM51,0)))</f>
        <v>0</v>
      </c>
      <c r="K732" s="12" t="s">
        <v>56</v>
      </c>
      <c r="L732" s="13" t="s">
        <v>62</v>
      </c>
      <c r="M732" s="3" t="s">
        <v>58</v>
      </c>
      <c r="N732" s="44">
        <v>0</v>
      </c>
      <c r="O732" s="337">
        <v>0</v>
      </c>
      <c r="P732" s="44">
        <v>0</v>
      </c>
      <c r="Q732" s="53">
        <f>IF(Provozování!$BE$16="Neaktivní",0,Provozování!BF51)</f>
        <v>0</v>
      </c>
      <c r="T732" s="12" t="s">
        <v>56</v>
      </c>
      <c r="U732" s="13" t="s">
        <v>62</v>
      </c>
      <c r="V732" s="3" t="s">
        <v>58</v>
      </c>
      <c r="W732" s="337">
        <v>0</v>
      </c>
      <c r="X732" s="337">
        <v>0</v>
      </c>
      <c r="Y732" s="337">
        <v>0</v>
      </c>
      <c r="Z732" s="462">
        <v>0</v>
      </c>
      <c r="AA732" s="44">
        <f>IF(Provozování!$BE$16="Neaktivní",H732,Q732)</f>
        <v>0</v>
      </c>
      <c r="AB732" s="30">
        <f t="shared" ref="AB732:AB737" si="80">Z732-AA732</f>
        <v>0</v>
      </c>
      <c r="AC732" s="146"/>
      <c r="AD732" s="146"/>
      <c r="AE732" s="437" t="s">
        <v>323</v>
      </c>
      <c r="AF732" s="437"/>
      <c r="AG732" s="714"/>
      <c r="AH732" s="715"/>
      <c r="AK732" s="146"/>
      <c r="AL732" s="146"/>
      <c r="AM732" s="146"/>
      <c r="AN732" s="146"/>
    </row>
    <row r="733" spans="2:40" x14ac:dyDescent="0.25">
      <c r="B733" s="12" t="s">
        <v>59</v>
      </c>
      <c r="C733" s="13" t="s">
        <v>60</v>
      </c>
      <c r="D733" s="3" t="s">
        <v>58</v>
      </c>
      <c r="E733" s="44">
        <v>0</v>
      </c>
      <c r="F733" s="337">
        <v>0</v>
      </c>
      <c r="G733" s="44">
        <v>0</v>
      </c>
      <c r="H733" s="30">
        <f>IF(YEAR(Postup!$H$25)&gt;$D$688,Provozování!BD52,IF(AND(DAY(Postup!$H$25)=31,MONTH(Postup!$H$25)=12,YEAR(Postup!$H$25)=$D$688),Provozování!BD52,IF(YEAR(Postup!$H$25)=$D$688,Provozování!$BM52,0)))</f>
        <v>0</v>
      </c>
      <c r="K733" s="12" t="s">
        <v>59</v>
      </c>
      <c r="L733" s="13" t="s">
        <v>60</v>
      </c>
      <c r="M733" s="3" t="s">
        <v>58</v>
      </c>
      <c r="N733" s="44">
        <v>0</v>
      </c>
      <c r="O733" s="337">
        <v>0</v>
      </c>
      <c r="P733" s="44">
        <v>0</v>
      </c>
      <c r="Q733" s="53">
        <f>IF(Provozování!$BE$16="Neaktivní",0,Provozování!BF52)</f>
        <v>0</v>
      </c>
      <c r="T733" s="12" t="s">
        <v>59</v>
      </c>
      <c r="U733" s="13" t="s">
        <v>60</v>
      </c>
      <c r="V733" s="3" t="s">
        <v>58</v>
      </c>
      <c r="W733" s="337">
        <v>0</v>
      </c>
      <c r="X733" s="337">
        <v>0</v>
      </c>
      <c r="Y733" s="337">
        <v>0</v>
      </c>
      <c r="Z733" s="462">
        <v>0</v>
      </c>
      <c r="AA733" s="44">
        <f>IF(Provozování!$BE$16="Neaktivní",H733,Q733)</f>
        <v>0</v>
      </c>
      <c r="AB733" s="30">
        <f t="shared" si="80"/>
        <v>0</v>
      </c>
      <c r="AC733" s="146"/>
      <c r="AD733" s="146"/>
      <c r="AE733" s="438" t="s">
        <v>334</v>
      </c>
      <c r="AF733" s="438"/>
      <c r="AG733" s="713">
        <f>IF(AG731&gt;0,AG722*AI733*0.5,0)</f>
        <v>0</v>
      </c>
      <c r="AH733" s="713">
        <f>IF(AH731&gt;0,AH722*AJ733*0.5,0)</f>
        <v>0</v>
      </c>
      <c r="AI733" s="345">
        <f>IF(AG731&gt;0.05,0.05,AG731)</f>
        <v>0</v>
      </c>
      <c r="AJ733" s="345">
        <f>IF(AH731&gt;0.05,0.05,AH731)</f>
        <v>0</v>
      </c>
      <c r="AK733" s="146"/>
      <c r="AL733" s="146"/>
      <c r="AM733" s="146"/>
      <c r="AN733" s="146"/>
    </row>
    <row r="734" spans="2:40" x14ac:dyDescent="0.25">
      <c r="B734" s="12" t="s">
        <v>61</v>
      </c>
      <c r="C734" s="13" t="s">
        <v>65</v>
      </c>
      <c r="D734" s="3" t="s">
        <v>58</v>
      </c>
      <c r="E734" s="44">
        <v>0</v>
      </c>
      <c r="F734" s="337">
        <v>0</v>
      </c>
      <c r="G734" s="44">
        <v>0</v>
      </c>
      <c r="H734" s="30">
        <f>IF(YEAR(Postup!$H$25)&gt;$D$688,Provozování!BD53,IF(AND(DAY(Postup!$H$25)=31,MONTH(Postup!$H$25)=12,YEAR(Postup!$H$25)=$D$688),Provozování!BD53,IF(YEAR(Postup!$H$25)=$D$688,Provozování!$BM53,0)))</f>
        <v>0</v>
      </c>
      <c r="K734" s="12" t="s">
        <v>61</v>
      </c>
      <c r="L734" s="13" t="s">
        <v>65</v>
      </c>
      <c r="M734" s="3" t="s">
        <v>58</v>
      </c>
      <c r="N734" s="44">
        <v>0</v>
      </c>
      <c r="O734" s="337">
        <v>0</v>
      </c>
      <c r="P734" s="44">
        <v>0</v>
      </c>
      <c r="Q734" s="53">
        <f>IF(Provozování!$BE$16="Neaktivní",0,Provozování!BF53)</f>
        <v>0</v>
      </c>
      <c r="T734" s="12" t="s">
        <v>61</v>
      </c>
      <c r="U734" s="13" t="s">
        <v>65</v>
      </c>
      <c r="V734" s="3" t="s">
        <v>58</v>
      </c>
      <c r="W734" s="337">
        <v>0</v>
      </c>
      <c r="X734" s="337">
        <v>0</v>
      </c>
      <c r="Y734" s="337">
        <v>0</v>
      </c>
      <c r="Z734" s="462">
        <v>0</v>
      </c>
      <c r="AA734" s="44">
        <f>IF(Provozování!$BE$16="Neaktivní",H734,Q734)</f>
        <v>0</v>
      </c>
      <c r="AB734" s="30">
        <f t="shared" si="80"/>
        <v>0</v>
      </c>
      <c r="AC734" s="146"/>
      <c r="AD734" s="146"/>
      <c r="AE734" s="415" t="s">
        <v>335</v>
      </c>
      <c r="AF734" s="415"/>
      <c r="AG734" s="270">
        <f>IF(AI734&gt;0,AG722*(AI734-0.05)*0.8,0)</f>
        <v>0</v>
      </c>
      <c r="AH734" s="270">
        <f>IF(AJ734&gt;0,AH722*(AJ734-0.05)*0.8,0)</f>
        <v>0</v>
      </c>
      <c r="AI734" s="345">
        <f>IF(AND(AG731&gt;0.05,AG731&lt;=0.1),AG731,IF(AG731&lt;=0.05,0,0.1))</f>
        <v>0</v>
      </c>
      <c r="AJ734" s="345">
        <f>IF(AND(AH731&gt;0.05,AH731&lt;=0.1),AH731,IF(AH731&lt;=0.05,0,0.1))</f>
        <v>0</v>
      </c>
      <c r="AK734" s="146"/>
      <c r="AL734" s="146"/>
      <c r="AM734" s="146"/>
      <c r="AN734" s="146"/>
    </row>
    <row r="735" spans="2:40" x14ac:dyDescent="0.25">
      <c r="B735" s="12" t="s">
        <v>63</v>
      </c>
      <c r="C735" s="13" t="s">
        <v>67</v>
      </c>
      <c r="D735" s="3" t="s">
        <v>58</v>
      </c>
      <c r="E735" s="44">
        <v>0</v>
      </c>
      <c r="F735" s="337">
        <v>0</v>
      </c>
      <c r="G735" s="44">
        <v>0</v>
      </c>
      <c r="H735" s="30">
        <f>IF(YEAR(Postup!$H$25)&gt;$D$688,Provozování!BD54,IF(AND(DAY(Postup!$H$25)=31,MONTH(Postup!$H$25)=12,YEAR(Postup!$H$25)=$D$688),Provozování!BD54,IF(YEAR(Postup!$H$25)=$D$688,Provozování!$BM54,0)))</f>
        <v>0</v>
      </c>
      <c r="K735" s="12" t="s">
        <v>63</v>
      </c>
      <c r="L735" s="13" t="s">
        <v>67</v>
      </c>
      <c r="M735" s="3" t="s">
        <v>58</v>
      </c>
      <c r="N735" s="44">
        <v>0</v>
      </c>
      <c r="O735" s="337">
        <v>0</v>
      </c>
      <c r="P735" s="44">
        <v>0</v>
      </c>
      <c r="Q735" s="53">
        <f>IF(Provozování!$BE$16="Neaktivní",0,Provozování!BF54)</f>
        <v>0</v>
      </c>
      <c r="T735" s="12" t="s">
        <v>63</v>
      </c>
      <c r="U735" s="13" t="s">
        <v>67</v>
      </c>
      <c r="V735" s="3" t="s">
        <v>58</v>
      </c>
      <c r="W735" s="337">
        <v>0</v>
      </c>
      <c r="X735" s="337">
        <v>0</v>
      </c>
      <c r="Y735" s="337">
        <v>0</v>
      </c>
      <c r="Z735" s="462">
        <v>0</v>
      </c>
      <c r="AA735" s="44">
        <f>IF(Provozování!$BE$16="Neaktivní",H735,Q735)</f>
        <v>0</v>
      </c>
      <c r="AB735" s="30">
        <f t="shared" si="80"/>
        <v>0</v>
      </c>
      <c r="AC735" s="146"/>
      <c r="AD735" s="146"/>
      <c r="AE735" s="415" t="s">
        <v>336</v>
      </c>
      <c r="AF735" s="415"/>
      <c r="AG735" s="270">
        <f>IF(AI735&gt;0,AG722*(AI735-0.1)*1,0)</f>
        <v>0</v>
      </c>
      <c r="AH735" s="270">
        <f>IF(AJ735&gt;0,AH722*(AJ735-0.1)*1,0)</f>
        <v>0</v>
      </c>
      <c r="AI735" s="345">
        <f>IF(AG731&gt;0.1,AG731,0)</f>
        <v>0</v>
      </c>
      <c r="AJ735" s="345">
        <f>IF(AH731&gt;0.1,AH731,0)</f>
        <v>0</v>
      </c>
      <c r="AK735" s="146"/>
      <c r="AL735" s="146"/>
      <c r="AM735" s="146"/>
      <c r="AN735" s="146"/>
    </row>
    <row r="736" spans="2:40" x14ac:dyDescent="0.25">
      <c r="B736" s="12" t="s">
        <v>64</v>
      </c>
      <c r="C736" s="13" t="s">
        <v>68</v>
      </c>
      <c r="D736" s="3" t="s">
        <v>58</v>
      </c>
      <c r="E736" s="44">
        <v>0</v>
      </c>
      <c r="F736" s="44">
        <f>IF(YEAR(Postup!$H$25)&gt;$D$688,Provozování!BC55,IF(AND(DAY(Postup!$H$25)=31,MONTH(Postup!$H$25)=12,YEAR(Postup!$H$25)=$D$688),Provozování!BC55,IF(YEAR(Postup!$H$25)=$D$688,Provozování!$BL55,0)))</f>
        <v>0</v>
      </c>
      <c r="G736" s="44">
        <v>0</v>
      </c>
      <c r="H736" s="30">
        <f>IF(YEAR(Postup!$H$25)&gt;$D$688,Provozování!BD55,IF(AND(DAY(Postup!$H$25)=31,MONTH(Postup!$H$25)=12,YEAR(Postup!$H$25)=$D$688),Provozování!BD55,IF(YEAR(Postup!$H$25)=$D$688,Provozování!$BM55,0)))</f>
        <v>0</v>
      </c>
      <c r="K736" s="12" t="s">
        <v>64</v>
      </c>
      <c r="L736" s="13" t="s">
        <v>68</v>
      </c>
      <c r="M736" s="3" t="s">
        <v>58</v>
      </c>
      <c r="N736" s="44">
        <v>0</v>
      </c>
      <c r="O736" s="44">
        <f>IF(Provozování!$BE$16="Neaktivní",0,Provozování!BE55)</f>
        <v>0</v>
      </c>
      <c r="P736" s="44">
        <v>0</v>
      </c>
      <c r="Q736" s="53">
        <f>IF(Provozování!$BE$16="Neaktivní",0,Provozování!BF55)</f>
        <v>0</v>
      </c>
      <c r="T736" s="12" t="s">
        <v>64</v>
      </c>
      <c r="U736" s="13" t="s">
        <v>68</v>
      </c>
      <c r="V736" s="3" t="s">
        <v>58</v>
      </c>
      <c r="W736" s="462">
        <v>0</v>
      </c>
      <c r="X736" s="44">
        <f>IF(Provozování!$BE$16="Neaktivní",F736,O736)</f>
        <v>0</v>
      </c>
      <c r="Y736" s="44">
        <f>W736-X736</f>
        <v>0</v>
      </c>
      <c r="Z736" s="462">
        <v>0</v>
      </c>
      <c r="AA736" s="44">
        <f>IF(Provozování!$BE$16="Neaktivní",H736,Q736)</f>
        <v>0</v>
      </c>
      <c r="AB736" s="30">
        <f t="shared" si="80"/>
        <v>0</v>
      </c>
      <c r="AC736" s="146"/>
      <c r="AD736" s="146"/>
      <c r="AE736" s="413" t="s">
        <v>324</v>
      </c>
      <c r="AF736" s="413"/>
      <c r="AG736" s="346">
        <f>SUM(AG733:AG735)</f>
        <v>0</v>
      </c>
      <c r="AH736" s="346">
        <f>SUM(AH733:AH735)</f>
        <v>0</v>
      </c>
      <c r="AK736" s="146"/>
      <c r="AL736" s="146"/>
      <c r="AM736" s="146"/>
      <c r="AN736" s="146"/>
    </row>
    <row r="737" spans="2:40" x14ac:dyDescent="0.25">
      <c r="B737" s="12" t="s">
        <v>66</v>
      </c>
      <c r="C737" s="13" t="s">
        <v>69</v>
      </c>
      <c r="D737" s="3" t="s">
        <v>58</v>
      </c>
      <c r="E737" s="44">
        <v>0</v>
      </c>
      <c r="F737" s="44">
        <f>IF(YEAR(Postup!$H$25)&gt;$D$688,Provozování!BC56,IF(AND(DAY(Postup!$H$25)=31,MONTH(Postup!$H$25)=12,YEAR(Postup!$H$25)=$D$688),Provozování!BC56,IF(YEAR(Postup!$H$25)=$D$688,Provozování!$BL56,0)))</f>
        <v>0</v>
      </c>
      <c r="G737" s="44">
        <v>0</v>
      </c>
      <c r="H737" s="30">
        <f>IF(YEAR(Postup!$H$25)&gt;$D$688,Provozování!BD56,IF(AND(DAY(Postup!$H$25)=31,MONTH(Postup!$H$25)=12,YEAR(Postup!$H$25)=$D$688),Provozování!BD56,IF(YEAR(Postup!$H$25)=$D$688,Provozování!$BM56,0)))</f>
        <v>0</v>
      </c>
      <c r="K737" s="12" t="s">
        <v>66</v>
      </c>
      <c r="L737" s="13" t="s">
        <v>69</v>
      </c>
      <c r="M737" s="3" t="s">
        <v>58</v>
      </c>
      <c r="N737" s="44">
        <v>0</v>
      </c>
      <c r="O737" s="44">
        <f>IF(Provozování!$BE$16="Neaktivní",0,Provozování!BE56)</f>
        <v>0</v>
      </c>
      <c r="P737" s="44">
        <v>0</v>
      </c>
      <c r="Q737" s="30">
        <f>IF(Provozování!$BE$16="Neaktivní",0,Provozování!BF56)</f>
        <v>0</v>
      </c>
      <c r="T737" s="12" t="s">
        <v>66</v>
      </c>
      <c r="U737" s="13" t="s">
        <v>69</v>
      </c>
      <c r="V737" s="3" t="s">
        <v>58</v>
      </c>
      <c r="W737" s="462">
        <v>0</v>
      </c>
      <c r="X737" s="44">
        <f>IF(Provozování!$BE$16="Neaktivní",F737,O737)</f>
        <v>0</v>
      </c>
      <c r="Y737" s="44">
        <f>W737-X737</f>
        <v>0</v>
      </c>
      <c r="Z737" s="462">
        <v>0</v>
      </c>
      <c r="AA737" s="44">
        <f>IF(Provozování!$BE$16="Neaktivní",H737,Q737)</f>
        <v>0</v>
      </c>
      <c r="AB737" s="30">
        <f t="shared" si="80"/>
        <v>0</v>
      </c>
      <c r="AC737" s="146"/>
      <c r="AD737" s="146"/>
      <c r="AE737" s="146"/>
      <c r="AF737" s="146"/>
      <c r="AG737" s="146"/>
      <c r="AH737" s="146"/>
      <c r="AI737" s="146"/>
      <c r="AJ737" s="146"/>
      <c r="AK737" s="146"/>
      <c r="AL737" s="146"/>
      <c r="AM737" s="146"/>
      <c r="AN737" s="146"/>
    </row>
    <row r="738" spans="2:40" x14ac:dyDescent="0.25">
      <c r="B738" s="1"/>
      <c r="C738" s="1"/>
      <c r="D738" s="1"/>
      <c r="E738" s="1"/>
      <c r="F738" s="347"/>
      <c r="G738" s="1"/>
      <c r="H738" s="347"/>
      <c r="K738" s="1"/>
      <c r="L738" s="1"/>
      <c r="M738" s="1"/>
      <c r="N738" s="1"/>
      <c r="O738" s="1"/>
      <c r="P738" s="1"/>
      <c r="Q738" s="1"/>
      <c r="T738" s="1"/>
      <c r="U738" s="1"/>
      <c r="V738" s="1"/>
      <c r="W738" s="1"/>
      <c r="X738" s="1"/>
      <c r="Y738" s="1"/>
      <c r="Z738" s="1"/>
      <c r="AA738" s="1"/>
      <c r="AB738" s="1"/>
      <c r="AC738" s="146"/>
      <c r="AD738" s="146"/>
      <c r="AE738" s="146"/>
      <c r="AF738" s="146"/>
      <c r="AG738" s="146"/>
      <c r="AH738" s="146"/>
      <c r="AI738" s="146"/>
      <c r="AJ738" s="146"/>
      <c r="AK738" s="146"/>
      <c r="AL738" s="146"/>
      <c r="AM738" s="146"/>
      <c r="AN738" s="146"/>
    </row>
    <row r="739" spans="2:40" x14ac:dyDescent="0.25">
      <c r="B739" s="1052" t="s">
        <v>5</v>
      </c>
      <c r="C739" s="884" t="s">
        <v>70</v>
      </c>
      <c r="D739" s="868"/>
      <c r="E739" s="1082"/>
      <c r="F739" s="1083"/>
      <c r="G739" s="868"/>
      <c r="H739" s="869"/>
      <c r="K739" s="1052" t="s">
        <v>5</v>
      </c>
      <c r="L739" s="884" t="s">
        <v>70</v>
      </c>
      <c r="M739" s="868"/>
      <c r="N739" s="1082"/>
      <c r="O739" s="1083"/>
      <c r="P739" s="868"/>
      <c r="Q739" s="869"/>
      <c r="T739" s="1098" t="s">
        <v>5</v>
      </c>
      <c r="U739" s="884" t="s">
        <v>70</v>
      </c>
      <c r="V739" s="868"/>
      <c r="W739" s="1082"/>
      <c r="X739" s="1082"/>
      <c r="Y739" s="1083"/>
      <c r="Z739" s="868"/>
      <c r="AA739" s="868"/>
      <c r="AB739" s="869"/>
      <c r="AC739" s="146"/>
      <c r="AD739" s="146"/>
      <c r="AE739" s="146"/>
      <c r="AF739" s="146"/>
      <c r="AG739" s="146"/>
      <c r="AH739" s="146"/>
      <c r="AI739" s="146"/>
      <c r="AJ739" s="146"/>
      <c r="AK739" s="146"/>
      <c r="AL739" s="146"/>
      <c r="AM739" s="146"/>
      <c r="AN739" s="146"/>
    </row>
    <row r="740" spans="2:40" x14ac:dyDescent="0.25">
      <c r="B740" s="1053"/>
      <c r="C740" s="1052" t="s">
        <v>71</v>
      </c>
      <c r="D740" s="1065" t="s">
        <v>133</v>
      </c>
      <c r="E740" s="1085" t="s">
        <v>102</v>
      </c>
      <c r="F740" s="1086"/>
      <c r="G740" s="85" t="s">
        <v>3</v>
      </c>
      <c r="H740" s="23" t="s">
        <v>4</v>
      </c>
      <c r="K740" s="1053"/>
      <c r="L740" s="5" t="s">
        <v>71</v>
      </c>
      <c r="M740" s="1065" t="s">
        <v>133</v>
      </c>
      <c r="N740" s="1085" t="s">
        <v>102</v>
      </c>
      <c r="O740" s="1086"/>
      <c r="P740" s="85" t="s">
        <v>3</v>
      </c>
      <c r="Q740" s="23" t="s">
        <v>4</v>
      </c>
      <c r="T740" s="1099"/>
      <c r="U740" s="1052" t="s">
        <v>71</v>
      </c>
      <c r="V740" s="1065" t="s">
        <v>133</v>
      </c>
      <c r="W740" s="1085" t="s">
        <v>102</v>
      </c>
      <c r="X740" s="1086"/>
      <c r="Y740" s="1085" t="s">
        <v>3</v>
      </c>
      <c r="Z740" s="1101"/>
      <c r="AA740" s="1102" t="s">
        <v>4</v>
      </c>
      <c r="AB740" s="1102"/>
      <c r="AC740" s="146"/>
      <c r="AD740" s="146"/>
      <c r="AE740" s="146"/>
      <c r="AF740" s="146"/>
      <c r="AG740" s="146"/>
      <c r="AH740" s="146"/>
      <c r="AI740" s="146"/>
      <c r="AJ740" s="146"/>
      <c r="AK740" s="146"/>
      <c r="AL740" s="146"/>
      <c r="AM740" s="146"/>
      <c r="AN740" s="146"/>
    </row>
    <row r="741" spans="2:40" x14ac:dyDescent="0.25">
      <c r="B741" s="1054"/>
      <c r="C741" s="1054"/>
      <c r="D741" s="1084"/>
      <c r="E741" s="1087"/>
      <c r="F741" s="1088"/>
      <c r="G741" s="26" t="s">
        <v>7</v>
      </c>
      <c r="H741" s="24" t="s">
        <v>7</v>
      </c>
      <c r="K741" s="1054"/>
      <c r="L741" s="8"/>
      <c r="M741" s="1084"/>
      <c r="N741" s="1087"/>
      <c r="O741" s="1088"/>
      <c r="P741" s="26" t="s">
        <v>7</v>
      </c>
      <c r="Q741" s="24" t="s">
        <v>7</v>
      </c>
      <c r="T741" s="1100"/>
      <c r="U741" s="1054"/>
      <c r="V741" s="1084"/>
      <c r="W741" s="1087"/>
      <c r="X741" s="1088"/>
      <c r="Y741" s="37" t="s">
        <v>148</v>
      </c>
      <c r="Z741" s="37" t="s">
        <v>7</v>
      </c>
      <c r="AA741" s="37" t="s">
        <v>148</v>
      </c>
      <c r="AB741" s="37" t="s">
        <v>7</v>
      </c>
      <c r="AC741" s="146"/>
      <c r="AD741" s="146"/>
      <c r="AE741" s="146"/>
      <c r="AF741" s="146"/>
      <c r="AG741" s="146"/>
      <c r="AH741" s="146"/>
      <c r="AI741" s="146"/>
      <c r="AJ741" s="146"/>
      <c r="AK741" s="146"/>
      <c r="AL741" s="146"/>
      <c r="AM741" s="146"/>
      <c r="AN741" s="146"/>
    </row>
    <row r="742" spans="2:40" x14ac:dyDescent="0.25">
      <c r="B742" s="11">
        <v>1</v>
      </c>
      <c r="C742" s="11">
        <v>2</v>
      </c>
      <c r="D742" s="11" t="s">
        <v>95</v>
      </c>
      <c r="E742" s="873" t="s">
        <v>99</v>
      </c>
      <c r="F742" s="874"/>
      <c r="G742" s="11" t="s">
        <v>100</v>
      </c>
      <c r="H742" s="22" t="s">
        <v>101</v>
      </c>
      <c r="K742" s="11">
        <v>1</v>
      </c>
      <c r="L742" s="11">
        <v>2</v>
      </c>
      <c r="M742" s="11" t="s">
        <v>95</v>
      </c>
      <c r="N742" s="873" t="s">
        <v>99</v>
      </c>
      <c r="O742" s="874"/>
      <c r="P742" s="11" t="s">
        <v>100</v>
      </c>
      <c r="Q742" s="22" t="s">
        <v>101</v>
      </c>
      <c r="T742" s="11">
        <v>1</v>
      </c>
      <c r="U742" s="11">
        <v>2</v>
      </c>
      <c r="V742" s="11" t="s">
        <v>95</v>
      </c>
      <c r="W742" s="1096" t="s">
        <v>99</v>
      </c>
      <c r="X742" s="1097"/>
      <c r="Y742" s="11" t="s">
        <v>153</v>
      </c>
      <c r="Z742" s="11" t="s">
        <v>100</v>
      </c>
      <c r="AA742" s="11" t="s">
        <v>152</v>
      </c>
      <c r="AB742" s="22" t="s">
        <v>101</v>
      </c>
      <c r="AC742" s="146"/>
      <c r="AD742" s="146"/>
      <c r="AE742" s="146"/>
      <c r="AF742" s="146"/>
      <c r="AG742" s="146"/>
      <c r="AH742" s="146"/>
      <c r="AI742" s="146"/>
      <c r="AJ742" s="146"/>
      <c r="AK742" s="146"/>
      <c r="AL742" s="146"/>
      <c r="AM742" s="146"/>
      <c r="AN742" s="146"/>
    </row>
    <row r="743" spans="2:40" ht="14.45" customHeight="1" x14ac:dyDescent="0.25">
      <c r="B743" s="12" t="s">
        <v>72</v>
      </c>
      <c r="C743" s="13" t="s">
        <v>104</v>
      </c>
      <c r="D743" s="13" t="s">
        <v>73</v>
      </c>
      <c r="E743" s="875" t="s">
        <v>403</v>
      </c>
      <c r="F743" s="1048"/>
      <c r="G743" s="137">
        <f>IF(F730=0,IF(F736&lt;&gt;0,F726/F736,0),F726/F730)</f>
        <v>0</v>
      </c>
      <c r="H743" s="138">
        <f>IF((H732+H734)=0,IF(H737&lt;&gt;0,H726/H737,0),H726/(H732+H734))</f>
        <v>0</v>
      </c>
      <c r="K743" s="12" t="s">
        <v>72</v>
      </c>
      <c r="L743" s="13" t="s">
        <v>104</v>
      </c>
      <c r="M743" s="13" t="s">
        <v>73</v>
      </c>
      <c r="N743" s="875" t="s">
        <v>403</v>
      </c>
      <c r="O743" s="1048"/>
      <c r="P743" s="137">
        <f>IF(O730=0,IF(O736&lt;&gt;0,O726/O736,0),O726/O730)</f>
        <v>0</v>
      </c>
      <c r="Q743" s="138">
        <f>IF((Q732+Q734)=0,IF(Q737&lt;&gt;0,Q726/Q737,0),Q726/(Q732+Q734))</f>
        <v>0</v>
      </c>
      <c r="T743" s="12" t="s">
        <v>72</v>
      </c>
      <c r="U743" s="13" t="s">
        <v>104</v>
      </c>
      <c r="V743" s="13" t="s">
        <v>73</v>
      </c>
      <c r="W743" s="875" t="s">
        <v>403</v>
      </c>
      <c r="X743" s="1048"/>
      <c r="Y743" s="137">
        <f>IF(W730=0,IF(W736&lt;&gt;0,W726/W736,0),W726/W730)</f>
        <v>0</v>
      </c>
      <c r="Z743" s="137">
        <f>IF(X730=0,IF(X736&lt;&gt;0,X726/X736,0),X726/X730)</f>
        <v>0</v>
      </c>
      <c r="AA743" s="137">
        <f>IF((Z732+Z734)=0,IF(Z737&lt;&gt;0,Z726/Z737,0),Z726/(Z732+Z734))</f>
        <v>0</v>
      </c>
      <c r="AB743" s="138">
        <f>IF((AA732+AA734)=0,IF(AA737&lt;&gt;0,AA726/AA737,0),AA726/(AA732+AA734))</f>
        <v>0</v>
      </c>
      <c r="AC743" s="146"/>
      <c r="AD743" s="146"/>
      <c r="AE743" s="146"/>
      <c r="AF743" s="146"/>
      <c r="AG743" s="146"/>
      <c r="AH743" s="146"/>
      <c r="AI743" s="146"/>
      <c r="AJ743" s="146"/>
      <c r="AK743" s="146"/>
      <c r="AL743" s="146"/>
      <c r="AM743" s="146"/>
      <c r="AN743" s="146"/>
    </row>
    <row r="744" spans="2:40" x14ac:dyDescent="0.25">
      <c r="B744" s="12" t="s">
        <v>74</v>
      </c>
      <c r="C744" s="13" t="s">
        <v>358</v>
      </c>
      <c r="D744" s="13" t="s">
        <v>10</v>
      </c>
      <c r="E744" s="858" t="s">
        <v>404</v>
      </c>
      <c r="F744" s="870"/>
      <c r="G744" s="340">
        <f>G745+G746</f>
        <v>0</v>
      </c>
      <c r="H744" s="341">
        <f>H745+H746</f>
        <v>0</v>
      </c>
      <c r="K744" s="12" t="s">
        <v>74</v>
      </c>
      <c r="L744" s="13" t="s">
        <v>358</v>
      </c>
      <c r="M744" s="13" t="s">
        <v>10</v>
      </c>
      <c r="N744" s="858" t="s">
        <v>404</v>
      </c>
      <c r="O744" s="870"/>
      <c r="P744" s="340">
        <f>P745+P746</f>
        <v>0</v>
      </c>
      <c r="Q744" s="341">
        <f>Q745+Q746</f>
        <v>0</v>
      </c>
      <c r="T744" s="12" t="s">
        <v>74</v>
      </c>
      <c r="U744" s="13" t="s">
        <v>358</v>
      </c>
      <c r="V744" s="13" t="s">
        <v>10</v>
      </c>
      <c r="W744" s="858" t="s">
        <v>404</v>
      </c>
      <c r="X744" s="870"/>
      <c r="Y744" s="340">
        <f>Y745+Y746</f>
        <v>0</v>
      </c>
      <c r="Z744" s="340">
        <f>Z745+Z746</f>
        <v>0</v>
      </c>
      <c r="AA744" s="340">
        <f>AA745+AA746</f>
        <v>0</v>
      </c>
      <c r="AB744" s="341">
        <f>AB745+AB746</f>
        <v>0</v>
      </c>
      <c r="AC744" s="146"/>
      <c r="AD744" s="146"/>
      <c r="AE744" s="146"/>
      <c r="AF744" s="146"/>
      <c r="AG744" s="146"/>
      <c r="AH744" s="146"/>
      <c r="AI744" s="146"/>
      <c r="AJ744" s="146"/>
      <c r="AK744" s="146"/>
      <c r="AL744" s="146"/>
      <c r="AM744" s="146"/>
      <c r="AN744" s="146"/>
    </row>
    <row r="745" spans="2:40" x14ac:dyDescent="0.25">
      <c r="B745" s="12" t="s">
        <v>352</v>
      </c>
      <c r="C745" s="13" t="s">
        <v>359</v>
      </c>
      <c r="D745" s="13" t="s">
        <v>10</v>
      </c>
      <c r="E745" s="871"/>
      <c r="F745" s="872"/>
      <c r="G745" s="340">
        <f>IF(YEAR(Postup!$H$25)&gt;$D685,Provozování!BC$84,IF(AND(DAY(Postup!$H$25)=31,MONTH(Postup!$H$25)=12,YEAR(Postup!$H$25)=$D685),Provozování!BC$84,IF(YEAR(Postup!$H$25)=$D685,Provozování!$BL$84,0)))</f>
        <v>0</v>
      </c>
      <c r="H745" s="341">
        <f>IF(YEAR(Postup!$H$25)&gt;$D685,Provozování!BD$84,IF(AND(DAY(Postup!$H$25)=31,MONTH(Postup!$H$25)=12,YEAR(Postup!$H$25)=$D685),Provozování!BD$84,IF(YEAR(Postup!$H$25)=$D685,Provozování!$BM$84,0)))</f>
        <v>0</v>
      </c>
      <c r="K745" s="12" t="s">
        <v>352</v>
      </c>
      <c r="L745" s="13" t="s">
        <v>359</v>
      </c>
      <c r="M745" s="13" t="s">
        <v>10</v>
      </c>
      <c r="N745" s="871"/>
      <c r="O745" s="872"/>
      <c r="P745" s="340">
        <f>IF(Provozování!$BE$16="Neaktivní",0,Provozování!BE$84)</f>
        <v>0</v>
      </c>
      <c r="Q745" s="341">
        <f>IF(Provozování!BE$16="Neaktivní",0,Provozování!BF$84)</f>
        <v>0</v>
      </c>
      <c r="T745" s="12" t="s">
        <v>352</v>
      </c>
      <c r="U745" s="13" t="s">
        <v>359</v>
      </c>
      <c r="V745" s="13" t="s">
        <v>10</v>
      </c>
      <c r="W745" s="871"/>
      <c r="X745" s="872"/>
      <c r="Y745" s="340">
        <f>Z745</f>
        <v>0</v>
      </c>
      <c r="Z745" s="340">
        <f>IF(Provozování!$BE$16="Neaktivní",G745,P745)</f>
        <v>0</v>
      </c>
      <c r="AA745" s="340">
        <f>AB745</f>
        <v>0</v>
      </c>
      <c r="AB745" s="341">
        <f>IF(Provozování!$BE$16="Neaktivní",H745,Q745)</f>
        <v>0</v>
      </c>
      <c r="AC745" s="146"/>
      <c r="AD745" s="146"/>
      <c r="AE745" s="146"/>
      <c r="AF745" s="146"/>
      <c r="AG745" s="146"/>
      <c r="AH745" s="146"/>
      <c r="AI745" s="146"/>
      <c r="AJ745" s="146"/>
      <c r="AK745" s="146"/>
      <c r="AL745" s="146"/>
      <c r="AM745" s="146"/>
      <c r="AN745" s="146"/>
    </row>
    <row r="746" spans="2:40" x14ac:dyDescent="0.25">
      <c r="B746" s="12" t="s">
        <v>361</v>
      </c>
      <c r="C746" s="13" t="s">
        <v>360</v>
      </c>
      <c r="D746" s="13" t="s">
        <v>10</v>
      </c>
      <c r="E746" s="884"/>
      <c r="F746" s="869"/>
      <c r="G746" s="340">
        <f>IF(YEAR(Postup!$H$25)&gt;$D$688,((-1)*(Provozování!BC102)),IF(AND(DAY(Postup!$H$25)=31,MONTH(Postup!$H$25)=12,YEAR(Postup!$H$25)=$D$688),((-1)*(Provozování!BC102)),IF(YEAR(Postup!$H$25)=$D$688,((-1)*(Provozování!BC102)),0)))</f>
        <v>0</v>
      </c>
      <c r="H746" s="341">
        <f>IF(YEAR(Postup!$H$25)&gt;$D$688,((-1)*(Provozování!BD102)),IF(AND(DAY(Postup!$H$25)=31,MONTH(Postup!$H$25)=12,YEAR(Postup!$H$25)=$D$688),((-1)*(Provozování!BD102)),IF(YEAR(Postup!$H$25)=$D$688,((-1)*(Provozování!BD102)),0)))</f>
        <v>0</v>
      </c>
      <c r="K746" s="12" t="s">
        <v>361</v>
      </c>
      <c r="L746" s="13" t="s">
        <v>360</v>
      </c>
      <c r="M746" s="13" t="s">
        <v>10</v>
      </c>
      <c r="N746" s="884"/>
      <c r="O746" s="869"/>
      <c r="P746" s="340">
        <f>IF(Provozování!$BE$16="Neaktivní",0,((-1)*(Provozování!BC102)))</f>
        <v>0</v>
      </c>
      <c r="Q746" s="341">
        <f>IF(Provozování!$BE$16="Neaktivní",0,((-1)*(Provozování!BD102)))</f>
        <v>0</v>
      </c>
      <c r="T746" s="12" t="s">
        <v>361</v>
      </c>
      <c r="U746" s="13" t="s">
        <v>360</v>
      </c>
      <c r="V746" s="13" t="s">
        <v>10</v>
      </c>
      <c r="W746" s="884"/>
      <c r="X746" s="869"/>
      <c r="Y746" s="340">
        <f>Z746</f>
        <v>0</v>
      </c>
      <c r="Z746" s="340">
        <f>IF(Provozování!$BE$16="Neaktivní",G746,P746)</f>
        <v>0</v>
      </c>
      <c r="AA746" s="340">
        <f>AB746</f>
        <v>0</v>
      </c>
      <c r="AB746" s="341">
        <f>IF(Provozování!$BE$16="Neaktivní",H746,Q746)</f>
        <v>0</v>
      </c>
      <c r="AC746" s="146"/>
      <c r="AD746" s="146"/>
      <c r="AE746" s="146"/>
      <c r="AF746" s="146"/>
      <c r="AG746" s="146"/>
      <c r="AH746" s="146"/>
      <c r="AI746" s="146"/>
      <c r="AJ746" s="146"/>
      <c r="AK746" s="146"/>
      <c r="AL746" s="146"/>
      <c r="AM746" s="146"/>
      <c r="AN746" s="146"/>
    </row>
    <row r="747" spans="2:40" x14ac:dyDescent="0.25">
      <c r="B747" s="12" t="s">
        <v>75</v>
      </c>
      <c r="C747" s="13" t="s">
        <v>396</v>
      </c>
      <c r="D747" s="13" t="s">
        <v>10</v>
      </c>
      <c r="E747" s="858" t="s">
        <v>405</v>
      </c>
      <c r="F747" s="870"/>
      <c r="G747" s="340">
        <f>F726+G744</f>
        <v>0</v>
      </c>
      <c r="H747" s="341">
        <f>H726+H744</f>
        <v>0</v>
      </c>
      <c r="K747" s="12" t="s">
        <v>75</v>
      </c>
      <c r="L747" s="13" t="s">
        <v>396</v>
      </c>
      <c r="M747" s="13" t="s">
        <v>10</v>
      </c>
      <c r="N747" s="858" t="s">
        <v>405</v>
      </c>
      <c r="O747" s="870"/>
      <c r="P747" s="340">
        <f>O726+P744</f>
        <v>0</v>
      </c>
      <c r="Q747" s="341">
        <f>Q726+Q744</f>
        <v>0</v>
      </c>
      <c r="T747" s="12" t="s">
        <v>75</v>
      </c>
      <c r="U747" s="13" t="s">
        <v>396</v>
      </c>
      <c r="V747" s="13" t="s">
        <v>10</v>
      </c>
      <c r="W747" s="858" t="s">
        <v>405</v>
      </c>
      <c r="X747" s="870"/>
      <c r="Y747" s="14">
        <f>W726+Y744</f>
        <v>0</v>
      </c>
      <c r="Z747" s="14">
        <f>X726+Z744</f>
        <v>0</v>
      </c>
      <c r="AA747" s="14">
        <f>Z726+AA744</f>
        <v>0</v>
      </c>
      <c r="AB747" s="15">
        <f>AA726+AB744</f>
        <v>0</v>
      </c>
      <c r="AC747" s="146"/>
      <c r="AD747" s="146"/>
      <c r="AE747" s="146"/>
      <c r="AF747" s="146"/>
      <c r="AG747" s="146"/>
      <c r="AH747" s="146"/>
      <c r="AI747" s="146"/>
      <c r="AJ747" s="146"/>
      <c r="AK747" s="146"/>
      <c r="AL747" s="146"/>
      <c r="AM747" s="146"/>
      <c r="AN747" s="146"/>
    </row>
    <row r="748" spans="2:40" x14ac:dyDescent="0.25">
      <c r="B748" s="12" t="s">
        <v>76</v>
      </c>
      <c r="C748" s="13" t="s">
        <v>373</v>
      </c>
      <c r="D748" s="13" t="s">
        <v>10</v>
      </c>
      <c r="E748" s="858"/>
      <c r="F748" s="859"/>
      <c r="G748" s="340">
        <f>IF(YEAR(Postup!$H$25)&gt;$D688,Provozování!BC$87,IF(AND(DAY(Postup!$H$25)=31,MONTH(Postup!$H$25)=12,YEAR(Postup!$H$25)=$D688),Provozování!BC$87,IF(YEAR(Postup!$H$25)=$D688,Provozování!$BL$87,0)))</f>
        <v>0</v>
      </c>
      <c r="H748" s="341">
        <f>IF(YEAR(Postup!$H$25)&gt;$D688,Provozování!BD$87,IF(AND(DAY(Postup!$H$25)=31,MONTH(Postup!$H$25)=12,YEAR(Postup!$H$25)=$D688),Provozování!BD$87,IF(YEAR(Postup!$H$25)=$D688,Provozování!$BM$87,0)))</f>
        <v>0</v>
      </c>
      <c r="K748" s="12" t="s">
        <v>76</v>
      </c>
      <c r="L748" s="13" t="s">
        <v>373</v>
      </c>
      <c r="M748" s="13" t="s">
        <v>10</v>
      </c>
      <c r="N748" s="858"/>
      <c r="O748" s="859"/>
      <c r="P748" s="340">
        <f>IF(Provozování!$BE$16="Neaktivní",0,Provozování!BE$87)</f>
        <v>0</v>
      </c>
      <c r="Q748" s="341">
        <f>IF(Provozování!BE$16="Neaktivní",0,Provozování!BF$87)</f>
        <v>0</v>
      </c>
      <c r="T748" s="12" t="s">
        <v>76</v>
      </c>
      <c r="U748" s="13" t="s">
        <v>373</v>
      </c>
      <c r="V748" s="13" t="s">
        <v>10</v>
      </c>
      <c r="W748" s="858"/>
      <c r="X748" s="859"/>
      <c r="Y748" s="462">
        <f>IF(Provozování!BE16="Aktivní",Provozování!BE87,Provozování!BC87)</f>
        <v>2.3999896640999999E-2</v>
      </c>
      <c r="Z748" s="14">
        <f>IF(Provozování!$BE$16="Neaktivní",G748,P748)</f>
        <v>0</v>
      </c>
      <c r="AA748" s="462">
        <f>IF(Provozování!BE16="Aktivní",Provozování!BF87,Provozování!BD87)</f>
        <v>0.100000278</v>
      </c>
      <c r="AB748" s="15">
        <f>IF(Provozování!$BE$16="Neaktivní",H748,Q748)</f>
        <v>0</v>
      </c>
      <c r="AC748" s="146"/>
      <c r="AD748" s="146"/>
      <c r="AE748" s="146"/>
      <c r="AF748" s="146"/>
      <c r="AG748" s="146"/>
      <c r="AH748" s="146"/>
      <c r="AI748" s="146"/>
      <c r="AJ748" s="146"/>
      <c r="AK748" s="146"/>
      <c r="AL748" s="146"/>
      <c r="AM748" s="146"/>
      <c r="AN748" s="146"/>
    </row>
    <row r="749" spans="2:40" ht="14.45" customHeight="1" x14ac:dyDescent="0.25">
      <c r="B749" s="12" t="s">
        <v>78</v>
      </c>
      <c r="C749" s="21" t="s">
        <v>402</v>
      </c>
      <c r="D749" s="13" t="s">
        <v>77</v>
      </c>
      <c r="E749" s="875" t="s">
        <v>406</v>
      </c>
      <c r="F749" s="1048"/>
      <c r="G749" s="137">
        <f>IF(G747=0,0,G748/G747*100)</f>
        <v>0</v>
      </c>
      <c r="H749" s="138">
        <f>IF(H747=0,0,H748/H747*100)</f>
        <v>0</v>
      </c>
      <c r="K749" s="12" t="s">
        <v>78</v>
      </c>
      <c r="L749" s="21" t="s">
        <v>402</v>
      </c>
      <c r="M749" s="13" t="s">
        <v>77</v>
      </c>
      <c r="N749" s="875" t="s">
        <v>406</v>
      </c>
      <c r="O749" s="1048"/>
      <c r="P749" s="137">
        <f>IF(P747=0,0,P748/P747*100)</f>
        <v>0</v>
      </c>
      <c r="Q749" s="138">
        <f>IF(Q747=0,0,Q748/Q747*100)</f>
        <v>0</v>
      </c>
      <c r="T749" s="12" t="s">
        <v>78</v>
      </c>
      <c r="U749" s="21" t="s">
        <v>402</v>
      </c>
      <c r="V749" s="13" t="s">
        <v>77</v>
      </c>
      <c r="W749" s="875" t="s">
        <v>406</v>
      </c>
      <c r="X749" s="1048"/>
      <c r="Y749" s="137">
        <f>IF(Y747=0,0,Y748/Y747*100)</f>
        <v>0</v>
      </c>
      <c r="Z749" s="137">
        <f>IF(Z747=0,0,Z748/Z747*100)</f>
        <v>0</v>
      </c>
      <c r="AA749" s="137">
        <f>IF(AA747=0,0,AA748/AA747*100)</f>
        <v>0</v>
      </c>
      <c r="AB749" s="138">
        <f>IF(AB747=0,0,AB748/AB747*100)</f>
        <v>0</v>
      </c>
      <c r="AC749" s="146"/>
      <c r="AD749" s="146"/>
      <c r="AE749" s="146"/>
      <c r="AF749" s="146"/>
      <c r="AG749" s="146"/>
      <c r="AH749" s="146"/>
      <c r="AI749" s="146"/>
      <c r="AJ749" s="146"/>
      <c r="AK749" s="146"/>
      <c r="AL749" s="146"/>
      <c r="AM749" s="146"/>
      <c r="AN749" s="146"/>
    </row>
    <row r="750" spans="2:40" x14ac:dyDescent="0.25">
      <c r="B750" s="12" t="s">
        <v>79</v>
      </c>
      <c r="C750" s="21" t="s">
        <v>408</v>
      </c>
      <c r="D750" s="13" t="s">
        <v>10</v>
      </c>
      <c r="E750" s="858" t="s">
        <v>407</v>
      </c>
      <c r="F750" s="870"/>
      <c r="G750" s="310">
        <v>0</v>
      </c>
      <c r="H750" s="111">
        <v>0</v>
      </c>
      <c r="K750" s="12" t="s">
        <v>79</v>
      </c>
      <c r="L750" s="21" t="s">
        <v>408</v>
      </c>
      <c r="M750" s="13" t="s">
        <v>10</v>
      </c>
      <c r="N750" s="858" t="s">
        <v>407</v>
      </c>
      <c r="O750" s="870"/>
      <c r="P750" s="310">
        <v>0</v>
      </c>
      <c r="Q750" s="111">
        <v>0</v>
      </c>
      <c r="T750" s="12" t="s">
        <v>79</v>
      </c>
      <c r="U750" s="21" t="s">
        <v>408</v>
      </c>
      <c r="V750" s="13" t="s">
        <v>10</v>
      </c>
      <c r="W750" s="858" t="s">
        <v>407</v>
      </c>
      <c r="X750" s="870"/>
      <c r="Y750" s="337">
        <v>0</v>
      </c>
      <c r="Z750" s="337">
        <v>0</v>
      </c>
      <c r="AA750" s="337">
        <v>0</v>
      </c>
      <c r="AB750" s="334">
        <v>0</v>
      </c>
      <c r="AC750" s="146"/>
      <c r="AD750" s="146"/>
      <c r="AE750" s="146"/>
      <c r="AF750" s="146"/>
      <c r="AG750" s="146"/>
      <c r="AH750" s="146"/>
      <c r="AI750" s="146"/>
      <c r="AJ750" s="146"/>
      <c r="AK750" s="146"/>
      <c r="AL750" s="146"/>
      <c r="AM750" s="146"/>
      <c r="AN750" s="146"/>
    </row>
    <row r="751" spans="2:40" x14ac:dyDescent="0.25">
      <c r="B751" s="12" t="s">
        <v>80</v>
      </c>
      <c r="C751" s="497" t="s">
        <v>354</v>
      </c>
      <c r="D751" s="13"/>
      <c r="E751" s="858" t="s">
        <v>409</v>
      </c>
      <c r="F751" s="870"/>
      <c r="G751" s="310">
        <f>G748-G750</f>
        <v>0</v>
      </c>
      <c r="H751" s="111">
        <f>H748-H750</f>
        <v>0</v>
      </c>
      <c r="K751" s="12" t="s">
        <v>80</v>
      </c>
      <c r="L751" s="497" t="s">
        <v>354</v>
      </c>
      <c r="M751" s="13"/>
      <c r="N751" s="858" t="s">
        <v>409</v>
      </c>
      <c r="O751" s="870"/>
      <c r="P751" s="310">
        <f>P748-P750</f>
        <v>0</v>
      </c>
      <c r="Q751" s="111">
        <f>Q748-Q750</f>
        <v>0</v>
      </c>
      <c r="T751" s="12" t="s">
        <v>80</v>
      </c>
      <c r="U751" s="497" t="s">
        <v>354</v>
      </c>
      <c r="V751" s="13"/>
      <c r="W751" s="858" t="s">
        <v>409</v>
      </c>
      <c r="X751" s="870"/>
      <c r="Y751" s="337">
        <f>Y748-Y750</f>
        <v>2.3999896640999999E-2</v>
      </c>
      <c r="Z751" s="337">
        <f>Z748-Z750</f>
        <v>0</v>
      </c>
      <c r="AA751" s="337">
        <f>AA748-AA750</f>
        <v>0.100000278</v>
      </c>
      <c r="AB751" s="334">
        <f>AB748-AB750</f>
        <v>0</v>
      </c>
      <c r="AC751" s="146"/>
      <c r="AD751" s="146"/>
      <c r="AE751" s="146"/>
      <c r="AF751" s="146"/>
      <c r="AG751" s="146"/>
      <c r="AH751" s="146"/>
      <c r="AI751" s="146"/>
      <c r="AJ751" s="146"/>
      <c r="AK751" s="146"/>
      <c r="AL751" s="146"/>
      <c r="AM751" s="146"/>
      <c r="AN751" s="146"/>
    </row>
    <row r="752" spans="2:40" x14ac:dyDescent="0.25">
      <c r="B752" s="12" t="s">
        <v>82</v>
      </c>
      <c r="C752" s="13" t="s">
        <v>395</v>
      </c>
      <c r="D752" s="13" t="s">
        <v>10</v>
      </c>
      <c r="E752" s="858" t="s">
        <v>410</v>
      </c>
      <c r="F752" s="870"/>
      <c r="G752" s="340">
        <f>G747+G748</f>
        <v>0</v>
      </c>
      <c r="H752" s="341">
        <f>H747+H748</f>
        <v>0</v>
      </c>
      <c r="K752" s="12" t="s">
        <v>82</v>
      </c>
      <c r="L752" s="13" t="s">
        <v>395</v>
      </c>
      <c r="M752" s="13" t="s">
        <v>10</v>
      </c>
      <c r="N752" s="858" t="s">
        <v>410</v>
      </c>
      <c r="O752" s="870"/>
      <c r="P752" s="340">
        <f>P747+P748</f>
        <v>0</v>
      </c>
      <c r="Q752" s="341">
        <f>Q747+Q748</f>
        <v>0</v>
      </c>
      <c r="T752" s="12" t="s">
        <v>82</v>
      </c>
      <c r="U752" s="13" t="s">
        <v>395</v>
      </c>
      <c r="V752" s="13" t="s">
        <v>10</v>
      </c>
      <c r="W752" s="858" t="s">
        <v>410</v>
      </c>
      <c r="X752" s="870"/>
      <c r="Y752" s="340">
        <f>Y747+Y748</f>
        <v>2.3999896640999999E-2</v>
      </c>
      <c r="Z752" s="340">
        <f>Z747+Z748</f>
        <v>0</v>
      </c>
      <c r="AA752" s="340">
        <f>AA747+AA748</f>
        <v>0.100000278</v>
      </c>
      <c r="AB752" s="341">
        <f>AB747+AB748</f>
        <v>0</v>
      </c>
      <c r="AC752" s="146"/>
      <c r="AD752" s="146"/>
      <c r="AE752" s="146"/>
      <c r="AF752" s="146"/>
      <c r="AG752" s="146"/>
      <c r="AH752" s="146"/>
      <c r="AI752" s="146"/>
      <c r="AJ752" s="146"/>
      <c r="AK752" s="146"/>
      <c r="AL752" s="146"/>
      <c r="AM752" s="146"/>
      <c r="AN752" s="146"/>
    </row>
    <row r="753" spans="1:40" x14ac:dyDescent="0.25">
      <c r="B753" s="12" t="s">
        <v>83</v>
      </c>
      <c r="C753" s="13" t="s">
        <v>81</v>
      </c>
      <c r="D753" s="13" t="s">
        <v>58</v>
      </c>
      <c r="E753" s="858" t="s">
        <v>411</v>
      </c>
      <c r="F753" s="870"/>
      <c r="G753" s="340">
        <f>IF(F730=0,F736,F730)</f>
        <v>0</v>
      </c>
      <c r="H753" s="341">
        <f>IF(H732+H734=0,H737,H732+H734)</f>
        <v>0</v>
      </c>
      <c r="K753" s="12" t="s">
        <v>83</v>
      </c>
      <c r="L753" s="13" t="s">
        <v>81</v>
      </c>
      <c r="M753" s="13" t="s">
        <v>58</v>
      </c>
      <c r="N753" s="858" t="s">
        <v>411</v>
      </c>
      <c r="O753" s="870"/>
      <c r="P753" s="340">
        <f>IF(O730=0,O736,O730)</f>
        <v>0</v>
      </c>
      <c r="Q753" s="341">
        <f>IF(Q732+Q734=0,Q737,Q732+Q734)</f>
        <v>0</v>
      </c>
      <c r="T753" s="12" t="s">
        <v>83</v>
      </c>
      <c r="U753" s="13" t="s">
        <v>81</v>
      </c>
      <c r="V753" s="13" t="s">
        <v>58</v>
      </c>
      <c r="W753" s="858" t="s">
        <v>411</v>
      </c>
      <c r="X753" s="870"/>
      <c r="Y753" s="14">
        <f>IF(W730=0,W736,W730)</f>
        <v>0</v>
      </c>
      <c r="Z753" s="14">
        <f>IF(X730=0,X736,X730)</f>
        <v>0</v>
      </c>
      <c r="AA753" s="14">
        <f>IF(Z732+Z734=0,Z737,Z732+Z734)</f>
        <v>0</v>
      </c>
      <c r="AB753" s="15">
        <f>IF(AA732+AA734=0,AA737,AA732+AA734)</f>
        <v>0</v>
      </c>
      <c r="AC753" s="146"/>
      <c r="AD753" s="146"/>
      <c r="AE753" s="146"/>
      <c r="AF753" s="146"/>
      <c r="AG753" s="146"/>
      <c r="AH753" s="146"/>
      <c r="AI753" s="146"/>
      <c r="AJ753" s="146"/>
      <c r="AK753" s="146"/>
      <c r="AL753" s="146"/>
      <c r="AM753" s="146"/>
      <c r="AN753" s="146"/>
    </row>
    <row r="754" spans="1:40" x14ac:dyDescent="0.25">
      <c r="B754" s="12" t="s">
        <v>155</v>
      </c>
      <c r="C754" s="13" t="s">
        <v>393</v>
      </c>
      <c r="D754" s="13" t="s">
        <v>73</v>
      </c>
      <c r="E754" s="858" t="s">
        <v>412</v>
      </c>
      <c r="F754" s="870"/>
      <c r="G754" s="137">
        <f>IF(G753=0,0,G752/G753)</f>
        <v>0</v>
      </c>
      <c r="H754" s="138">
        <f>IF(H753=0,0,H752/H753)</f>
        <v>0</v>
      </c>
      <c r="K754" s="12" t="s">
        <v>155</v>
      </c>
      <c r="L754" s="13" t="s">
        <v>393</v>
      </c>
      <c r="M754" s="13" t="s">
        <v>73</v>
      </c>
      <c r="N754" s="858" t="s">
        <v>412</v>
      </c>
      <c r="O754" s="870"/>
      <c r="P754" s="137">
        <f>IF(P753=0,0,P752/P753)</f>
        <v>0</v>
      </c>
      <c r="Q754" s="138">
        <f>IF(Q753=0,0,Q752/Q753)</f>
        <v>0</v>
      </c>
      <c r="T754" s="12" t="s">
        <v>155</v>
      </c>
      <c r="U754" s="13" t="s">
        <v>393</v>
      </c>
      <c r="V754" s="13" t="s">
        <v>73</v>
      </c>
      <c r="W754" s="858" t="s">
        <v>412</v>
      </c>
      <c r="X754" s="870"/>
      <c r="Y754" s="137">
        <f>IF(Y753=0,0,Y752/Y753)</f>
        <v>0</v>
      </c>
      <c r="Z754" s="137">
        <f>IF(Z753=0,0,Z752/Z753)</f>
        <v>0</v>
      </c>
      <c r="AA754" s="137">
        <f>IF(AA753=0,0,AA752/AA753)</f>
        <v>0</v>
      </c>
      <c r="AB754" s="138">
        <f>IF(AB753=0,0,AB752/AB753)</f>
        <v>0</v>
      </c>
      <c r="AC754" s="146"/>
      <c r="AD754" s="146"/>
      <c r="AE754" s="146"/>
      <c r="AF754" s="146"/>
      <c r="AG754" s="146"/>
      <c r="AH754" s="146"/>
      <c r="AI754" s="146"/>
      <c r="AJ754" s="146"/>
      <c r="AK754" s="146"/>
      <c r="AL754" s="146"/>
      <c r="AM754" s="146"/>
      <c r="AN754" s="146"/>
    </row>
    <row r="755" spans="1:40" x14ac:dyDescent="0.25">
      <c r="B755" s="210" t="s">
        <v>355</v>
      </c>
      <c r="C755" s="244" t="str">
        <f>CONCATENATE("UPLATŇOVANÁ CENA pro vodné, stočné +",Provozování!BC97*100,"% DPH")</f>
        <v>UPLATŇOVANÁ CENA pro vodné, stočné +10% DPH</v>
      </c>
      <c r="D755" s="244" t="s">
        <v>73</v>
      </c>
      <c r="E755" s="858" t="s">
        <v>413</v>
      </c>
      <c r="F755" s="870"/>
      <c r="G755" s="138">
        <f>G754*(1+Provozování!BC$97)</f>
        <v>0</v>
      </c>
      <c r="H755" s="138">
        <f>H754*(1+Provozování!BD$97)</f>
        <v>0</v>
      </c>
      <c r="K755" s="210" t="s">
        <v>355</v>
      </c>
      <c r="L755" s="244" t="str">
        <f>C755</f>
        <v>UPLATŇOVANÁ CENA pro vodné, stočné +10% DPH</v>
      </c>
      <c r="M755" s="244" t="s">
        <v>73</v>
      </c>
      <c r="N755" s="858" t="s">
        <v>413</v>
      </c>
      <c r="O755" s="870"/>
      <c r="P755" s="138">
        <f>P754*(1+Provozování!BC$97)</f>
        <v>0</v>
      </c>
      <c r="Q755" s="138">
        <f>Q754*(1+Provozování!BD$97)</f>
        <v>0</v>
      </c>
      <c r="T755" s="12" t="s">
        <v>355</v>
      </c>
      <c r="U755" s="13" t="str">
        <f>C755</f>
        <v>UPLATŇOVANÁ CENA pro vodné, stočné +10% DPH</v>
      </c>
      <c r="V755" s="13" t="s">
        <v>73</v>
      </c>
      <c r="W755" s="858" t="s">
        <v>413</v>
      </c>
      <c r="X755" s="870"/>
      <c r="Y755" s="137">
        <f>Y754*(1+Provozování!BC$97)</f>
        <v>0</v>
      </c>
      <c r="Z755" s="137">
        <f>Z754*(1+Provozování!BD$97)</f>
        <v>0</v>
      </c>
      <c r="AA755" s="137">
        <f>AA754*(1+Provozování!BC$97)</f>
        <v>0</v>
      </c>
      <c r="AB755" s="138">
        <f>AB754*(1+Provozování!BD$97)</f>
        <v>0</v>
      </c>
      <c r="AC755" s="146"/>
      <c r="AD755" s="146"/>
      <c r="AE755" s="146"/>
      <c r="AF755" s="146"/>
      <c r="AG755" s="146"/>
      <c r="AH755" s="146"/>
      <c r="AI755" s="146"/>
      <c r="AJ755" s="146"/>
      <c r="AK755" s="146"/>
      <c r="AL755" s="146"/>
      <c r="AM755" s="146"/>
      <c r="AN755" s="146"/>
    </row>
    <row r="756" spans="1:40" x14ac:dyDescent="0.25">
      <c r="B756" s="210" t="s">
        <v>356</v>
      </c>
      <c r="C756" s="244" t="s">
        <v>357</v>
      </c>
      <c r="D756" s="244" t="s">
        <v>73</v>
      </c>
      <c r="E756" s="884" t="s">
        <v>414</v>
      </c>
      <c r="F756" s="869"/>
      <c r="G756" s="138">
        <v>0</v>
      </c>
      <c r="H756" s="138">
        <v>0</v>
      </c>
      <c r="K756" s="210" t="s">
        <v>356</v>
      </c>
      <c r="L756" s="244" t="s">
        <v>357</v>
      </c>
      <c r="M756" s="244" t="s">
        <v>73</v>
      </c>
      <c r="N756" s="884" t="s">
        <v>414</v>
      </c>
      <c r="O756" s="869"/>
      <c r="P756" s="138">
        <v>0</v>
      </c>
      <c r="Q756" s="138">
        <v>0</v>
      </c>
      <c r="T756" s="528" t="s">
        <v>356</v>
      </c>
      <c r="U756" s="2" t="s">
        <v>357</v>
      </c>
      <c r="V756" s="2" t="s">
        <v>73</v>
      </c>
      <c r="W756" s="884" t="s">
        <v>414</v>
      </c>
      <c r="X756" s="869"/>
      <c r="Y756" s="529">
        <v>0</v>
      </c>
      <c r="Z756" s="529">
        <v>0</v>
      </c>
      <c r="AA756" s="529">
        <v>0</v>
      </c>
      <c r="AB756" s="530">
        <v>0</v>
      </c>
      <c r="AC756" s="146"/>
      <c r="AD756" s="146"/>
      <c r="AE756" s="146"/>
      <c r="AF756" s="146"/>
      <c r="AG756" s="146"/>
      <c r="AH756" s="146"/>
      <c r="AI756" s="146"/>
      <c r="AJ756" s="146"/>
      <c r="AK756" s="146"/>
      <c r="AL756" s="146"/>
      <c r="AM756" s="146"/>
      <c r="AN756" s="146"/>
    </row>
    <row r="757" spans="1:40" ht="19.5" x14ac:dyDescent="0.25">
      <c r="T757" s="1089" t="s">
        <v>155</v>
      </c>
      <c r="U757" s="1089" t="s">
        <v>154</v>
      </c>
      <c r="V757" s="882" t="s">
        <v>10</v>
      </c>
      <c r="W757" s="854" t="s">
        <v>156</v>
      </c>
      <c r="X757" s="858"/>
      <c r="Y757" s="89" t="s">
        <v>158</v>
      </c>
      <c r="Z757" s="92" t="s">
        <v>159</v>
      </c>
      <c r="AA757" s="89" t="s">
        <v>158</v>
      </c>
      <c r="AB757" s="92" t="s">
        <v>159</v>
      </c>
      <c r="AC757" s="146"/>
      <c r="AD757" s="146"/>
      <c r="AE757" s="146"/>
      <c r="AF757" s="146"/>
      <c r="AG757" s="146"/>
      <c r="AH757" s="146"/>
      <c r="AI757" s="146"/>
      <c r="AJ757" s="146"/>
      <c r="AK757" s="146"/>
      <c r="AL757" s="146"/>
      <c r="AM757" s="146"/>
      <c r="AN757" s="146"/>
    </row>
    <row r="758" spans="1:40" x14ac:dyDescent="0.25">
      <c r="B758" s="383" t="s">
        <v>283</v>
      </c>
      <c r="T758" s="1090"/>
      <c r="U758" s="1090"/>
      <c r="V758" s="1092"/>
      <c r="W758" s="1093">
        <v>0</v>
      </c>
      <c r="X758" s="1094"/>
      <c r="Y758" s="90">
        <f>W688</f>
        <v>2033</v>
      </c>
      <c r="Z758" s="90">
        <f>W688</f>
        <v>2033</v>
      </c>
      <c r="AA758" s="90">
        <f>W688</f>
        <v>2033</v>
      </c>
      <c r="AB758" s="90">
        <f>W688</f>
        <v>2033</v>
      </c>
      <c r="AC758" s="146"/>
      <c r="AD758" s="146"/>
      <c r="AE758" s="146"/>
      <c r="AF758" s="146"/>
      <c r="AG758" s="146"/>
      <c r="AH758" s="146"/>
      <c r="AI758" s="146"/>
      <c r="AJ758" s="146"/>
      <c r="AK758" s="146"/>
      <c r="AL758" s="146"/>
      <c r="AM758" s="146"/>
      <c r="AN758" s="146"/>
    </row>
    <row r="759" spans="1:40" x14ac:dyDescent="0.25">
      <c r="B759" s="383" t="s">
        <v>284</v>
      </c>
      <c r="T759" s="1090"/>
      <c r="U759" s="1090"/>
      <c r="V759" s="1092"/>
      <c r="W759" s="854" t="s">
        <v>157</v>
      </c>
      <c r="X759" s="858"/>
      <c r="Y759" s="91" t="s">
        <v>160</v>
      </c>
      <c r="Z759" s="91" t="s">
        <v>160</v>
      </c>
      <c r="AA759" s="91" t="s">
        <v>161</v>
      </c>
      <c r="AB759" s="91" t="s">
        <v>161</v>
      </c>
      <c r="AC759" s="146"/>
      <c r="AD759" s="146"/>
      <c r="AE759" s="146"/>
      <c r="AF759" s="146"/>
      <c r="AG759" s="146"/>
      <c r="AH759" s="146"/>
      <c r="AI759" s="146"/>
      <c r="AJ759" s="146"/>
      <c r="AK759" s="146"/>
      <c r="AL759" s="146"/>
      <c r="AM759" s="146"/>
      <c r="AN759" s="146"/>
    </row>
    <row r="760" spans="1:40" x14ac:dyDescent="0.25">
      <c r="T760" s="1091"/>
      <c r="U760" s="1091"/>
      <c r="V760" s="883"/>
      <c r="W760" s="1095">
        <v>0</v>
      </c>
      <c r="X760" s="1093"/>
      <c r="Y760" s="464">
        <v>0</v>
      </c>
      <c r="Z760" s="464">
        <v>0</v>
      </c>
      <c r="AA760" s="464">
        <v>0</v>
      </c>
      <c r="AB760" s="464">
        <v>0</v>
      </c>
      <c r="AC760" s="146"/>
      <c r="AD760" s="146"/>
      <c r="AE760" s="146"/>
      <c r="AF760" s="146"/>
      <c r="AG760" s="146"/>
      <c r="AH760" s="146"/>
      <c r="AI760" s="146"/>
      <c r="AJ760" s="146"/>
      <c r="AK760" s="146"/>
      <c r="AL760" s="146"/>
      <c r="AM760" s="146"/>
      <c r="AN760" s="146"/>
    </row>
    <row r="761" spans="1:40" x14ac:dyDescent="0.25">
      <c r="A761" s="252"/>
      <c r="B761" s="29"/>
      <c r="C761" s="29"/>
      <c r="D761" s="29"/>
      <c r="E761" s="29"/>
      <c r="F761" s="29"/>
      <c r="G761" s="29"/>
      <c r="H761" s="29"/>
      <c r="I761" s="29"/>
      <c r="J761" s="29"/>
      <c r="K761" s="29"/>
      <c r="L761" s="29"/>
      <c r="M761" s="29"/>
      <c r="N761" s="29"/>
      <c r="O761" s="29"/>
      <c r="P761" s="29"/>
      <c r="Q761" s="29"/>
      <c r="R761" s="29"/>
      <c r="AC761" s="146"/>
      <c r="AD761" s="146"/>
      <c r="AE761" s="146"/>
      <c r="AF761" s="146"/>
      <c r="AG761" s="338"/>
      <c r="AH761" s="338"/>
    </row>
    <row r="762" spans="1:40" x14ac:dyDescent="0.25">
      <c r="B762" s="899" t="s">
        <v>316</v>
      </c>
      <c r="C762" s="900"/>
      <c r="D762" s="900"/>
      <c r="E762" s="900"/>
      <c r="F762" s="900"/>
      <c r="G762" s="900"/>
      <c r="H762" s="900"/>
      <c r="K762" s="899" t="s">
        <v>317</v>
      </c>
      <c r="L762" s="900"/>
      <c r="M762" s="900"/>
      <c r="N762" s="900"/>
      <c r="O762" s="900"/>
      <c r="P762" s="900"/>
      <c r="Q762" s="900"/>
      <c r="T762" s="899" t="s">
        <v>162</v>
      </c>
      <c r="U762" s="900"/>
      <c r="V762" s="900"/>
      <c r="W762" s="900"/>
      <c r="X762" s="900"/>
      <c r="Y762" s="900"/>
      <c r="Z762" s="900"/>
      <c r="AA762" s="900"/>
      <c r="AB762" s="900"/>
      <c r="AC762" s="146"/>
      <c r="AD762" s="146"/>
      <c r="AK762" s="146"/>
      <c r="AL762" s="146"/>
      <c r="AM762" s="146"/>
      <c r="AN762" s="146"/>
    </row>
    <row r="763" spans="1:40" x14ac:dyDescent="0.25">
      <c r="C763" s="272"/>
      <c r="E763" s="25"/>
      <c r="F763" s="25"/>
      <c r="L763" s="25"/>
      <c r="N763" s="25"/>
      <c r="T763" s="1079" t="s">
        <v>318</v>
      </c>
      <c r="U763" s="1079"/>
      <c r="V763" s="1079"/>
      <c r="W763" s="1079"/>
      <c r="X763" s="1079"/>
      <c r="Y763" s="1079"/>
      <c r="Z763" s="1079"/>
      <c r="AA763" s="1079"/>
      <c r="AB763" s="1079"/>
      <c r="AC763" s="146"/>
      <c r="AD763" s="146"/>
      <c r="AK763" s="146"/>
      <c r="AL763" s="146"/>
      <c r="AM763" s="146"/>
      <c r="AN763" s="146"/>
    </row>
    <row r="764" spans="1:40" x14ac:dyDescent="0.25">
      <c r="C764" s="272" t="s">
        <v>103</v>
      </c>
      <c r="D764" s="274">
        <f>D688+1</f>
        <v>2034</v>
      </c>
      <c r="E764" s="25"/>
      <c r="F764" s="272" t="s">
        <v>221</v>
      </c>
      <c r="G764" s="275" t="str">
        <f>Výpočty!R$48</f>
        <v>-</v>
      </c>
      <c r="H764" s="275" t="str">
        <f>IF(Výpočty!R$49="-"," ",CONCATENATE("- ",DAY(Výpočty!R$49),".",MONTH(Výpočty!R$49),".",D764))</f>
        <v xml:space="preserve"> </v>
      </c>
      <c r="L764" s="272" t="s">
        <v>103</v>
      </c>
      <c r="M764" s="274">
        <f>D764</f>
        <v>2034</v>
      </c>
      <c r="O764" s="272" t="s">
        <v>221</v>
      </c>
      <c r="P764" s="360" t="str">
        <f>Výpočty!R$44</f>
        <v>-</v>
      </c>
      <c r="Q764" s="360" t="str">
        <f>IF(P764="-"," ",H764)</f>
        <v xml:space="preserve"> </v>
      </c>
      <c r="T764" s="333"/>
      <c r="U764" s="333"/>
      <c r="V764" s="342" t="s">
        <v>147</v>
      </c>
      <c r="W764" s="274">
        <f>D764</f>
        <v>2034</v>
      </c>
      <c r="Z764" s="272" t="s">
        <v>221</v>
      </c>
      <c r="AA764" s="275" t="str">
        <f>G764</f>
        <v>-</v>
      </c>
      <c r="AB764" s="275" t="str">
        <f>H764</f>
        <v xml:space="preserve"> </v>
      </c>
      <c r="AC764" s="146"/>
      <c r="AD764" s="146"/>
      <c r="AK764" s="146"/>
      <c r="AL764" s="146"/>
      <c r="AM764" s="146"/>
      <c r="AN764" s="146"/>
    </row>
    <row r="765" spans="1:40" x14ac:dyDescent="0.25">
      <c r="B765" s="13" t="s">
        <v>66</v>
      </c>
      <c r="C765" s="13" t="s">
        <v>89</v>
      </c>
      <c r="D765" s="902" t="str">
        <f t="shared" ref="D765:D770" si="81">D689</f>
        <v>PRVOK s.r.o., IČ 281 28 257</v>
      </c>
      <c r="E765" s="903"/>
      <c r="F765" s="903"/>
      <c r="G765" s="903"/>
      <c r="H765" s="904"/>
      <c r="K765" s="13" t="s">
        <v>66</v>
      </c>
      <c r="L765" s="13" t="s">
        <v>89</v>
      </c>
      <c r="M765" s="1080" t="str">
        <f>D765</f>
        <v>PRVOK s.r.o., IČ 281 28 257</v>
      </c>
      <c r="N765" s="1081"/>
      <c r="O765" s="1081"/>
      <c r="P765" s="1081"/>
      <c r="Q765" s="1081"/>
      <c r="T765" s="13" t="s">
        <v>66</v>
      </c>
      <c r="U765" s="13" t="s">
        <v>89</v>
      </c>
      <c r="V765" s="1080" t="str">
        <f>D765</f>
        <v>PRVOK s.r.o., IČ 281 28 257</v>
      </c>
      <c r="W765" s="1081"/>
      <c r="X765" s="1081"/>
      <c r="Y765" s="1081"/>
      <c r="Z765" s="1081"/>
      <c r="AA765" s="1081"/>
      <c r="AB765" s="1081"/>
      <c r="AC765" s="146"/>
      <c r="AD765" s="146"/>
      <c r="AK765" s="146"/>
      <c r="AL765" s="146"/>
      <c r="AM765" s="146"/>
      <c r="AN765" s="146"/>
    </row>
    <row r="766" spans="1:40" x14ac:dyDescent="0.25">
      <c r="B766" s="13" t="s">
        <v>84</v>
      </c>
      <c r="C766" s="13" t="s">
        <v>90</v>
      </c>
      <c r="D766" s="902" t="str">
        <f t="shared" si="81"/>
        <v>PRVOK s.r.o., IČ 281 28 257</v>
      </c>
      <c r="E766" s="903"/>
      <c r="F766" s="903"/>
      <c r="G766" s="903"/>
      <c r="H766" s="904"/>
      <c r="K766" s="13" t="s">
        <v>84</v>
      </c>
      <c r="L766" s="13" t="s">
        <v>90</v>
      </c>
      <c r="M766" s="1061" t="str">
        <f>D766</f>
        <v>PRVOK s.r.o., IČ 281 28 257</v>
      </c>
      <c r="N766" s="1062"/>
      <c r="O766" s="1062"/>
      <c r="P766" s="1062"/>
      <c r="Q766" s="1063"/>
      <c r="T766" s="13" t="s">
        <v>84</v>
      </c>
      <c r="U766" s="13" t="s">
        <v>90</v>
      </c>
      <c r="V766" s="1061" t="str">
        <f>D766</f>
        <v>PRVOK s.r.o., IČ 281 28 257</v>
      </c>
      <c r="W766" s="1062"/>
      <c r="X766" s="1062"/>
      <c r="Y766" s="1062"/>
      <c r="Z766" s="1062"/>
      <c r="AA766" s="1062"/>
      <c r="AB766" s="1063"/>
      <c r="AC766" s="146"/>
      <c r="AD766" s="146"/>
      <c r="AK766" s="146"/>
      <c r="AL766" s="146"/>
      <c r="AM766" s="146"/>
      <c r="AN766" s="146"/>
    </row>
    <row r="767" spans="1:40" x14ac:dyDescent="0.25">
      <c r="B767" s="13" t="s">
        <v>85</v>
      </c>
      <c r="C767" s="13" t="s">
        <v>91</v>
      </c>
      <c r="D767" s="902" t="str">
        <f t="shared" si="81"/>
        <v>Obec Benešov nad Černou, IČ 00245780</v>
      </c>
      <c r="E767" s="903"/>
      <c r="F767" s="903"/>
      <c r="G767" s="903"/>
      <c r="H767" s="904"/>
      <c r="K767" s="13" t="s">
        <v>85</v>
      </c>
      <c r="L767" s="13" t="s">
        <v>91</v>
      </c>
      <c r="M767" s="1061" t="str">
        <f>D767</f>
        <v>Obec Benešov nad Černou, IČ 00245780</v>
      </c>
      <c r="N767" s="1062"/>
      <c r="O767" s="1062"/>
      <c r="P767" s="1062"/>
      <c r="Q767" s="1063"/>
      <c r="T767" s="13" t="s">
        <v>85</v>
      </c>
      <c r="U767" s="13" t="s">
        <v>91</v>
      </c>
      <c r="V767" s="1061" t="str">
        <f>D767</f>
        <v>Obec Benešov nad Černou, IČ 00245780</v>
      </c>
      <c r="W767" s="1062"/>
      <c r="X767" s="1062"/>
      <c r="Y767" s="1062"/>
      <c r="Z767" s="1062"/>
      <c r="AA767" s="1062"/>
      <c r="AB767" s="1063"/>
      <c r="AC767" s="146"/>
      <c r="AD767" s="146"/>
      <c r="AK767" s="146"/>
      <c r="AL767" s="146"/>
      <c r="AM767" s="146"/>
      <c r="AN767" s="146"/>
    </row>
    <row r="768" spans="1:40" x14ac:dyDescent="0.25">
      <c r="B768" s="13" t="s">
        <v>86</v>
      </c>
      <c r="C768" s="13" t="s">
        <v>93</v>
      </c>
      <c r="D768" s="1055" t="str">
        <f t="shared" si="81"/>
        <v>A</v>
      </c>
      <c r="E768" s="1056"/>
      <c r="F768" s="1056"/>
      <c r="G768" s="1056"/>
      <c r="H768" s="1057"/>
      <c r="K768" s="13" t="s">
        <v>86</v>
      </c>
      <c r="L768" s="13" t="s">
        <v>93</v>
      </c>
      <c r="M768" s="1058" t="str">
        <f>IF($D768="[vyplnit]"," ",$D768)</f>
        <v>A</v>
      </c>
      <c r="N768" s="1059"/>
      <c r="O768" s="1059"/>
      <c r="P768" s="1059"/>
      <c r="Q768" s="1060"/>
      <c r="T768" s="13" t="s">
        <v>86</v>
      </c>
      <c r="U768" s="13" t="s">
        <v>93</v>
      </c>
      <c r="V768" s="1064" t="str">
        <f>IF($D768="[vyplnit]"," ",$D768)</f>
        <v>A</v>
      </c>
      <c r="W768" s="1064"/>
      <c r="X768" s="1064"/>
      <c r="Y768" s="1064"/>
      <c r="Z768" s="1064"/>
      <c r="AA768" s="1064"/>
      <c r="AB768" s="1064"/>
      <c r="AC768" s="146"/>
      <c r="AD768" s="146"/>
      <c r="AK768" s="146"/>
      <c r="AL768" s="146"/>
      <c r="AM768" s="146"/>
      <c r="AN768" s="146"/>
    </row>
    <row r="769" spans="2:40" x14ac:dyDescent="0.25">
      <c r="B769" s="13" t="s">
        <v>87</v>
      </c>
      <c r="C769" s="13" t="s">
        <v>92</v>
      </c>
      <c r="D769" s="1055">
        <f t="shared" si="81"/>
        <v>1</v>
      </c>
      <c r="E769" s="1056"/>
      <c r="F769" s="1056"/>
      <c r="G769" s="1056"/>
      <c r="H769" s="1057"/>
      <c r="K769" s="13" t="s">
        <v>87</v>
      </c>
      <c r="L769" s="13" t="s">
        <v>92</v>
      </c>
      <c r="M769" s="1058">
        <f>IF($D769="[vyplnit]"," ",$D769)</f>
        <v>1</v>
      </c>
      <c r="N769" s="1059"/>
      <c r="O769" s="1059"/>
      <c r="P769" s="1059"/>
      <c r="Q769" s="1060"/>
      <c r="T769" s="13" t="s">
        <v>87</v>
      </c>
      <c r="U769" s="13" t="s">
        <v>92</v>
      </c>
      <c r="V769" s="1064">
        <f>IF($D769="[vyplnit]"," ",$D769)</f>
        <v>1</v>
      </c>
      <c r="W769" s="1064"/>
      <c r="X769" s="1064"/>
      <c r="Y769" s="1064"/>
      <c r="Z769" s="1064"/>
      <c r="AA769" s="1064"/>
      <c r="AB769" s="1064"/>
      <c r="AC769" s="146"/>
      <c r="AD769" s="146"/>
      <c r="AK769" s="146"/>
      <c r="AL769" s="146"/>
      <c r="AM769" s="146"/>
      <c r="AN769" s="146"/>
    </row>
    <row r="770" spans="2:40" x14ac:dyDescent="0.25">
      <c r="B770" s="13" t="s">
        <v>88</v>
      </c>
      <c r="C770" s="13" t="s">
        <v>94</v>
      </c>
      <c r="D770" s="1055" t="str">
        <f t="shared" si="81"/>
        <v>[vyplnit]</v>
      </c>
      <c r="E770" s="1056"/>
      <c r="F770" s="1056"/>
      <c r="G770" s="1056"/>
      <c r="H770" s="1057"/>
      <c r="K770" s="13" t="s">
        <v>88</v>
      </c>
      <c r="L770" s="13" t="s">
        <v>94</v>
      </c>
      <c r="M770" s="1058" t="str">
        <f>IF($D770="[vyplnit]"," ",$D770)</f>
        <v xml:space="preserve"> </v>
      </c>
      <c r="N770" s="1059"/>
      <c r="O770" s="1059"/>
      <c r="P770" s="1059"/>
      <c r="Q770" s="1060"/>
      <c r="T770" s="13" t="s">
        <v>88</v>
      </c>
      <c r="U770" s="13" t="s">
        <v>94</v>
      </c>
      <c r="V770" s="1064" t="str">
        <f>IF($D770="[vyplnit]"," ",$D770)</f>
        <v xml:space="preserve"> </v>
      </c>
      <c r="W770" s="1064"/>
      <c r="X770" s="1064"/>
      <c r="Y770" s="1064"/>
      <c r="Z770" s="1064"/>
      <c r="AA770" s="1064"/>
      <c r="AB770" s="1064"/>
      <c r="AC770" s="146"/>
      <c r="AD770" s="146"/>
      <c r="AK770" s="146"/>
      <c r="AL770" s="146"/>
      <c r="AM770" s="146"/>
      <c r="AN770" s="146"/>
    </row>
    <row r="771" spans="2:40" x14ac:dyDescent="0.25">
      <c r="AC771" s="146"/>
      <c r="AK771" s="146"/>
      <c r="AL771" s="146"/>
      <c r="AM771" s="146"/>
      <c r="AN771" s="146"/>
    </row>
    <row r="772" spans="2:40" x14ac:dyDescent="0.25">
      <c r="B772" s="1052" t="s">
        <v>5</v>
      </c>
      <c r="C772" s="884" t="s">
        <v>0</v>
      </c>
      <c r="D772" s="868"/>
      <c r="E772" s="868"/>
      <c r="F772" s="868"/>
      <c r="G772" s="868"/>
      <c r="H772" s="869"/>
      <c r="K772" s="1052" t="s">
        <v>5</v>
      </c>
      <c r="L772" s="884" t="s">
        <v>0</v>
      </c>
      <c r="M772" s="868"/>
      <c r="N772" s="868"/>
      <c r="O772" s="868"/>
      <c r="P772" s="868"/>
      <c r="Q772" s="869"/>
      <c r="T772" s="1052" t="s">
        <v>5</v>
      </c>
      <c r="U772" s="884" t="s">
        <v>0</v>
      </c>
      <c r="V772" s="868"/>
      <c r="W772" s="868"/>
      <c r="X772" s="868"/>
      <c r="Y772" s="868"/>
      <c r="Z772" s="868"/>
      <c r="AA772" s="868"/>
      <c r="AB772" s="869"/>
      <c r="AC772" s="146"/>
      <c r="AK772" s="146"/>
      <c r="AL772" s="146"/>
      <c r="AM772" s="146"/>
      <c r="AN772" s="146"/>
    </row>
    <row r="773" spans="2:40" x14ac:dyDescent="0.25">
      <c r="B773" s="1053"/>
      <c r="C773" s="1052" t="s">
        <v>1</v>
      </c>
      <c r="D773" s="1065" t="s">
        <v>133</v>
      </c>
      <c r="E773" s="884" t="s">
        <v>3</v>
      </c>
      <c r="F773" s="868"/>
      <c r="G773" s="884" t="s">
        <v>4</v>
      </c>
      <c r="H773" s="869"/>
      <c r="K773" s="1053"/>
      <c r="L773" s="1052" t="s">
        <v>1</v>
      </c>
      <c r="M773" s="1065" t="s">
        <v>133</v>
      </c>
      <c r="N773" s="884" t="s">
        <v>3</v>
      </c>
      <c r="O773" s="868"/>
      <c r="P773" s="884" t="s">
        <v>4</v>
      </c>
      <c r="Q773" s="869"/>
      <c r="T773" s="1053"/>
      <c r="U773" s="1052" t="s">
        <v>1</v>
      </c>
      <c r="V773" s="1065" t="s">
        <v>133</v>
      </c>
      <c r="W773" s="884" t="s">
        <v>3</v>
      </c>
      <c r="X773" s="868"/>
      <c r="Y773" s="868"/>
      <c r="Z773" s="884" t="s">
        <v>4</v>
      </c>
      <c r="AA773" s="868"/>
      <c r="AB773" s="869"/>
      <c r="AC773" s="146"/>
      <c r="AK773" s="146"/>
      <c r="AL773" s="146"/>
      <c r="AM773" s="146"/>
      <c r="AN773" s="146"/>
    </row>
    <row r="774" spans="2:40" x14ac:dyDescent="0.25">
      <c r="B774" s="1053"/>
      <c r="C774" s="1053"/>
      <c r="D774" s="1053"/>
      <c r="E774" s="28">
        <f>D764-1</f>
        <v>2033</v>
      </c>
      <c r="F774" s="28">
        <f>D764</f>
        <v>2034</v>
      </c>
      <c r="G774" s="28">
        <f>D764-1</f>
        <v>2033</v>
      </c>
      <c r="H774" s="28">
        <f>D764</f>
        <v>2034</v>
      </c>
      <c r="K774" s="1053"/>
      <c r="L774" s="1053"/>
      <c r="M774" s="1053"/>
      <c r="N774" s="28">
        <f>M764-1</f>
        <v>2033</v>
      </c>
      <c r="O774" s="28">
        <f>M764</f>
        <v>2034</v>
      </c>
      <c r="P774" s="28">
        <f>M764-1</f>
        <v>2033</v>
      </c>
      <c r="Q774" s="28">
        <f>M764</f>
        <v>2034</v>
      </c>
      <c r="T774" s="1053"/>
      <c r="U774" s="1053"/>
      <c r="V774" s="1053"/>
      <c r="W774" s="28">
        <f>W764</f>
        <v>2034</v>
      </c>
      <c r="X774" s="28">
        <f>W764</f>
        <v>2034</v>
      </c>
      <c r="Y774" s="28">
        <f>W764</f>
        <v>2034</v>
      </c>
      <c r="Z774" s="28">
        <f>W764</f>
        <v>2034</v>
      </c>
      <c r="AA774" s="28">
        <f>W764</f>
        <v>2034</v>
      </c>
      <c r="AB774" s="28">
        <f>W764</f>
        <v>2034</v>
      </c>
      <c r="AC774" s="146"/>
      <c r="AK774" s="146"/>
      <c r="AL774" s="146"/>
      <c r="AM774" s="146"/>
      <c r="AN774" s="146"/>
    </row>
    <row r="775" spans="2:40" x14ac:dyDescent="0.25">
      <c r="B775" s="1054"/>
      <c r="C775" s="1054"/>
      <c r="D775" s="1054"/>
      <c r="E775" s="7" t="s">
        <v>151</v>
      </c>
      <c r="F775" s="7" t="s">
        <v>98</v>
      </c>
      <c r="G775" s="7" t="s">
        <v>151</v>
      </c>
      <c r="H775" s="19" t="s">
        <v>98</v>
      </c>
      <c r="K775" s="1054"/>
      <c r="L775" s="1054"/>
      <c r="M775" s="1054"/>
      <c r="N775" s="7" t="s">
        <v>151</v>
      </c>
      <c r="O775" s="7" t="s">
        <v>98</v>
      </c>
      <c r="P775" s="7" t="s">
        <v>151</v>
      </c>
      <c r="Q775" s="19" t="s">
        <v>98</v>
      </c>
      <c r="T775" s="1054"/>
      <c r="U775" s="1054"/>
      <c r="V775" s="1054"/>
      <c r="W775" s="7" t="s">
        <v>150</v>
      </c>
      <c r="X775" s="7" t="s">
        <v>98</v>
      </c>
      <c r="Y775" s="7" t="s">
        <v>149</v>
      </c>
      <c r="Z775" s="7" t="s">
        <v>150</v>
      </c>
      <c r="AA775" s="7" t="s">
        <v>98</v>
      </c>
      <c r="AB775" s="19" t="s">
        <v>149</v>
      </c>
      <c r="AC775" s="146"/>
      <c r="AK775" s="146"/>
      <c r="AL775" s="146"/>
      <c r="AM775" s="146"/>
      <c r="AN775" s="146"/>
    </row>
    <row r="776" spans="2:40" x14ac:dyDescent="0.25">
      <c r="B776" s="11">
        <v>1</v>
      </c>
      <c r="C776" s="11">
        <v>2</v>
      </c>
      <c r="D776" s="11" t="s">
        <v>95</v>
      </c>
      <c r="E776" s="11">
        <v>3</v>
      </c>
      <c r="F776" s="11">
        <v>4</v>
      </c>
      <c r="G776" s="11">
        <v>6</v>
      </c>
      <c r="H776" s="22">
        <v>7</v>
      </c>
      <c r="K776" s="11">
        <v>1</v>
      </c>
      <c r="L776" s="11">
        <v>2</v>
      </c>
      <c r="M776" s="11" t="s">
        <v>95</v>
      </c>
      <c r="N776" s="11">
        <v>3</v>
      </c>
      <c r="O776" s="11">
        <v>4</v>
      </c>
      <c r="P776" s="11">
        <v>6</v>
      </c>
      <c r="Q776" s="22">
        <v>7</v>
      </c>
      <c r="T776" s="11">
        <v>1</v>
      </c>
      <c r="U776" s="11">
        <v>2</v>
      </c>
      <c r="V776" s="11" t="s">
        <v>95</v>
      </c>
      <c r="W776" s="11">
        <v>3</v>
      </c>
      <c r="X776" s="11">
        <v>4</v>
      </c>
      <c r="Y776" s="11">
        <v>5</v>
      </c>
      <c r="Z776" s="11">
        <v>6</v>
      </c>
      <c r="AA776" s="11">
        <v>7</v>
      </c>
      <c r="AB776" s="22">
        <v>8</v>
      </c>
      <c r="AC776" s="146"/>
      <c r="AK776" s="146"/>
      <c r="AL776" s="146"/>
      <c r="AM776" s="146"/>
      <c r="AN776" s="146"/>
    </row>
    <row r="777" spans="2:40" x14ac:dyDescent="0.25">
      <c r="B777" s="9" t="s">
        <v>8</v>
      </c>
      <c r="C777" s="10" t="s">
        <v>9</v>
      </c>
      <c r="D777" s="11" t="s">
        <v>10</v>
      </c>
      <c r="E777" s="41">
        <f>SUM(E778:E781)</f>
        <v>0</v>
      </c>
      <c r="F777" s="41">
        <f>SUM(F778:F781)</f>
        <v>0</v>
      </c>
      <c r="G777" s="41">
        <f>SUM(G778:G781)</f>
        <v>0</v>
      </c>
      <c r="H777" s="86">
        <f>SUM(H778:H781)</f>
        <v>0</v>
      </c>
      <c r="K777" s="9" t="s">
        <v>8</v>
      </c>
      <c r="L777" s="10" t="s">
        <v>9</v>
      </c>
      <c r="M777" s="11" t="s">
        <v>10</v>
      </c>
      <c r="N777" s="41">
        <f>SUM(N778:N781)</f>
        <v>0</v>
      </c>
      <c r="O777" s="41">
        <f>SUM(O778:O781)</f>
        <v>0</v>
      </c>
      <c r="P777" s="41">
        <f>SUM(P778:P781)</f>
        <v>0</v>
      </c>
      <c r="Q777" s="86">
        <f>SUM(Q778:Q781)</f>
        <v>0</v>
      </c>
      <c r="T777" s="9" t="s">
        <v>8</v>
      </c>
      <c r="U777" s="10" t="s">
        <v>9</v>
      </c>
      <c r="V777" s="11" t="s">
        <v>10</v>
      </c>
      <c r="W777" s="86">
        <f t="shared" ref="W777:AB777" si="82">SUM(W778:W781)</f>
        <v>0</v>
      </c>
      <c r="X777" s="86">
        <f t="shared" si="82"/>
        <v>0</v>
      </c>
      <c r="Y777" s="86">
        <f t="shared" si="82"/>
        <v>0</v>
      </c>
      <c r="Z777" s="86">
        <f t="shared" si="82"/>
        <v>0</v>
      </c>
      <c r="AA777" s="86">
        <f t="shared" si="82"/>
        <v>0</v>
      </c>
      <c r="AB777" s="86">
        <f t="shared" si="82"/>
        <v>0</v>
      </c>
      <c r="AC777" s="146"/>
      <c r="AK777" s="146"/>
      <c r="AL777" s="146"/>
      <c r="AM777" s="146"/>
      <c r="AN777" s="146"/>
    </row>
    <row r="778" spans="2:40" x14ac:dyDescent="0.25">
      <c r="B778" s="12" t="s">
        <v>11</v>
      </c>
      <c r="C778" s="13" t="s">
        <v>12</v>
      </c>
      <c r="D778" s="3" t="s">
        <v>10</v>
      </c>
      <c r="E778" s="44">
        <v>0</v>
      </c>
      <c r="F778" s="44">
        <f>IF(YEAR(Postup!$H$25)&gt;$D$764,Provozování!BH23,IF(AND(DAY(Postup!$H$25)=31,MONTH(Postup!$H$25)=12,YEAR(Postup!$H$25)=$D$764),Provozování!BH23,IF(YEAR(Postup!$H$25)=$D$764,Provozování!$BL23,0)))</f>
        <v>0</v>
      </c>
      <c r="G778" s="44">
        <v>0</v>
      </c>
      <c r="H778" s="334">
        <v>0</v>
      </c>
      <c r="K778" s="12" t="s">
        <v>11</v>
      </c>
      <c r="L778" s="13" t="s">
        <v>12</v>
      </c>
      <c r="M778" s="3" t="s">
        <v>10</v>
      </c>
      <c r="N778" s="44">
        <v>0</v>
      </c>
      <c r="O778" s="44">
        <f>IF(Provozování!$BJ$16="Neaktivní",0,Provozování!BJ23)</f>
        <v>0</v>
      </c>
      <c r="P778" s="44">
        <v>0</v>
      </c>
      <c r="Q778" s="334">
        <v>0</v>
      </c>
      <c r="T778" s="12" t="s">
        <v>11</v>
      </c>
      <c r="U778" s="13" t="s">
        <v>12</v>
      </c>
      <c r="V778" s="3" t="s">
        <v>10</v>
      </c>
      <c r="W778" s="462">
        <v>0</v>
      </c>
      <c r="X778" s="44">
        <f>IF(Provozování!$BJ$16="Neaktivní",F778,O778)</f>
        <v>0</v>
      </c>
      <c r="Y778" s="44">
        <f>W778-X778</f>
        <v>0</v>
      </c>
      <c r="Z778" s="337">
        <v>0</v>
      </c>
      <c r="AA778" s="337">
        <v>0</v>
      </c>
      <c r="AB778" s="334">
        <v>0</v>
      </c>
      <c r="AC778" s="146"/>
      <c r="AK778" s="146"/>
      <c r="AL778" s="146"/>
      <c r="AM778" s="146"/>
      <c r="AN778" s="146"/>
    </row>
    <row r="779" spans="2:40" x14ac:dyDescent="0.25">
      <c r="B779" s="12" t="s">
        <v>13</v>
      </c>
      <c r="C779" s="12" t="s">
        <v>14</v>
      </c>
      <c r="D779" s="3" t="s">
        <v>10</v>
      </c>
      <c r="E779" s="52">
        <v>0</v>
      </c>
      <c r="F779" s="44">
        <f>IF(YEAR(Postup!$H$25)&gt;$D$764,Provozování!BH24,IF(AND(DAY(Postup!$H$25)=31,MONTH(Postup!$H$25)=12,YEAR(Postup!$H$25)=$D$764),Provozování!BH24,IF(YEAR(Postup!$H$25)=$D$764,Provozování!$BL24,0)))</f>
        <v>0</v>
      </c>
      <c r="G779" s="52">
        <v>0</v>
      </c>
      <c r="H779" s="30">
        <f>IF(YEAR(Postup!$H$25)&gt;$D$764,Provozování!BI24,IF(AND(DAY(Postup!$H$25)=31,MONTH(Postup!$H$25)=12,YEAR(Postup!$H$25)=$D$764),Provozování!BI24,IF(YEAR(Postup!$H$25)=$D$764,Provozování!$BM24,0)))</f>
        <v>0</v>
      </c>
      <c r="K779" s="12" t="s">
        <v>13</v>
      </c>
      <c r="L779" s="12" t="s">
        <v>14</v>
      </c>
      <c r="M779" s="3" t="s">
        <v>10</v>
      </c>
      <c r="N779" s="52">
        <v>0</v>
      </c>
      <c r="O779" s="44">
        <f>IF(Provozování!$BJ$16="Neaktivní",0,Provozování!BJ24)</f>
        <v>0</v>
      </c>
      <c r="P779" s="52">
        <v>0</v>
      </c>
      <c r="Q779" s="53">
        <f>IF(Provozování!$BJ$16="Neaktivní",0,Provozování!BK24)</f>
        <v>0</v>
      </c>
      <c r="T779" s="12" t="s">
        <v>13</v>
      </c>
      <c r="U779" s="12" t="s">
        <v>14</v>
      </c>
      <c r="V779" s="3" t="s">
        <v>10</v>
      </c>
      <c r="W779" s="463">
        <v>0</v>
      </c>
      <c r="X779" s="44">
        <f>IF(Provozování!$BJ$16="Neaktivní",F779,O779)</f>
        <v>0</v>
      </c>
      <c r="Y779" s="44">
        <f>W779-X779</f>
        <v>0</v>
      </c>
      <c r="Z779" s="463">
        <v>0</v>
      </c>
      <c r="AA779" s="44">
        <f>IF(Provozování!$BJ$16="Neaktivní",H779,Q779)</f>
        <v>0</v>
      </c>
      <c r="AB779" s="30">
        <f>Z779-AA779</f>
        <v>0</v>
      </c>
      <c r="AC779" s="146"/>
      <c r="AK779" s="146"/>
      <c r="AL779" s="146"/>
      <c r="AM779" s="146"/>
      <c r="AN779" s="146"/>
    </row>
    <row r="780" spans="2:40" x14ac:dyDescent="0.25">
      <c r="B780" s="12" t="s">
        <v>15</v>
      </c>
      <c r="C780" s="13" t="s">
        <v>16</v>
      </c>
      <c r="D780" s="3" t="s">
        <v>10</v>
      </c>
      <c r="E780" s="30">
        <v>0</v>
      </c>
      <c r="F780" s="457">
        <f>IF(YEAR(Postup!$H$25)&gt;$D$764,Provozování!BH25,IF(AND(DAY(Postup!$H$25)=31,MONTH(Postup!$H$25)=12,YEAR(Postup!$H$25)=$D$764),Provozování!BH25,IF(YEAR(Postup!$H$25)=$D$764,Provozování!$BL25,0)))</f>
        <v>0</v>
      </c>
      <c r="G780" s="30">
        <v>0</v>
      </c>
      <c r="H780" s="457">
        <f>IF(YEAR(Postup!$H$25)&gt;$D$764,Provozování!BI25,IF(AND(DAY(Postup!$H$25)=31,MONTH(Postup!$H$25)=12,YEAR(Postup!$H$25)=$D$764),Provozování!BI25,IF(YEAR(Postup!$H$25)=$D$764,Provozování!$BM25,0)))</f>
        <v>0</v>
      </c>
      <c r="K780" s="12" t="s">
        <v>15</v>
      </c>
      <c r="L780" s="13" t="s">
        <v>16</v>
      </c>
      <c r="M780" s="3" t="s">
        <v>10</v>
      </c>
      <c r="N780" s="30">
        <v>0</v>
      </c>
      <c r="O780" s="457">
        <f>IF(Provozování!$BJ$16="Neaktivní",0,Provozování!BJ25)</f>
        <v>0</v>
      </c>
      <c r="P780" s="30">
        <v>0</v>
      </c>
      <c r="Q780" s="457">
        <f>IF(Provozování!$BJ$16="Neaktivní",0,Provozování!BK25)</f>
        <v>0</v>
      </c>
      <c r="T780" s="12" t="s">
        <v>15</v>
      </c>
      <c r="U780" s="13" t="s">
        <v>16</v>
      </c>
      <c r="V780" s="3" t="s">
        <v>10</v>
      </c>
      <c r="W780" s="464">
        <v>0</v>
      </c>
      <c r="X780" s="44">
        <f>IF(Provozování!$BJ$16="Neaktivní",F780,O780)</f>
        <v>0</v>
      </c>
      <c r="Y780" s="44">
        <f>W780-X780</f>
        <v>0</v>
      </c>
      <c r="Z780" s="464">
        <v>0</v>
      </c>
      <c r="AA780" s="44">
        <f>IF(Provozování!$BJ$16="Neaktivní",H780,Q780)</f>
        <v>0</v>
      </c>
      <c r="AB780" s="30">
        <f>Z780-AA780</f>
        <v>0</v>
      </c>
      <c r="AC780" s="146"/>
      <c r="AK780" s="146"/>
      <c r="AL780" s="146"/>
      <c r="AM780" s="146"/>
      <c r="AN780" s="146"/>
    </row>
    <row r="781" spans="2:40" x14ac:dyDescent="0.25">
      <c r="B781" s="12" t="s">
        <v>17</v>
      </c>
      <c r="C781" s="13" t="s">
        <v>18</v>
      </c>
      <c r="D781" s="3" t="s">
        <v>10</v>
      </c>
      <c r="E781" s="87">
        <v>0</v>
      </c>
      <c r="F781" s="457">
        <f>IF(YEAR(Postup!$H$25)&gt;$D$764,Provozování!BH26,IF(AND(DAY(Postup!$H$25)=31,MONTH(Postup!$H$25)=12,YEAR(Postup!$H$25)=$D$764),Provozování!BH26,IF(YEAR(Postup!$H$25)=$D$764,Provozování!$BL26,0)))</f>
        <v>0</v>
      </c>
      <c r="G781" s="87">
        <v>0</v>
      </c>
      <c r="H781" s="457">
        <f>IF(YEAR(Postup!$H$25)&gt;$D$764,Provozování!BI26,IF(AND(DAY(Postup!$H$25)=31,MONTH(Postup!$H$25)=12,YEAR(Postup!$H$25)=$D$764),Provozování!BI26,IF(YEAR(Postup!$H$25)=$D$764,Provozování!$BM26,0)))</f>
        <v>0</v>
      </c>
      <c r="K781" s="12" t="s">
        <v>17</v>
      </c>
      <c r="L781" s="13" t="s">
        <v>18</v>
      </c>
      <c r="M781" s="3" t="s">
        <v>10</v>
      </c>
      <c r="N781" s="87">
        <v>0</v>
      </c>
      <c r="O781" s="457">
        <f>IF(Provozování!$BJ$16="Neaktivní",0,Provozování!BJ26)</f>
        <v>0</v>
      </c>
      <c r="P781" s="87">
        <v>0</v>
      </c>
      <c r="Q781" s="457">
        <f>IF(Provozování!$BJ$16="Neaktivní",0,Provozování!BK26)</f>
        <v>0</v>
      </c>
      <c r="T781" s="12" t="s">
        <v>17</v>
      </c>
      <c r="U781" s="13" t="s">
        <v>18</v>
      </c>
      <c r="V781" s="3" t="s">
        <v>10</v>
      </c>
      <c r="W781" s="465">
        <v>0</v>
      </c>
      <c r="X781" s="44">
        <f>IF(Provozování!$BJ$16="Neaktivní",F781,O781)</f>
        <v>0</v>
      </c>
      <c r="Y781" s="44">
        <f>W781-X781</f>
        <v>0</v>
      </c>
      <c r="Z781" s="465">
        <v>0</v>
      </c>
      <c r="AA781" s="44">
        <f>IF(Provozování!$BJ$16="Neaktivní",H781,Q781)</f>
        <v>0</v>
      </c>
      <c r="AB781" s="30">
        <f>Z781-AA781</f>
        <v>0</v>
      </c>
      <c r="AC781" s="146"/>
      <c r="AK781" s="146"/>
      <c r="AL781" s="146"/>
      <c r="AM781" s="146"/>
      <c r="AN781" s="146"/>
    </row>
    <row r="782" spans="2:40" x14ac:dyDescent="0.25">
      <c r="B782" s="9" t="s">
        <v>19</v>
      </c>
      <c r="C782" s="10" t="s">
        <v>20</v>
      </c>
      <c r="D782" s="11" t="s">
        <v>10</v>
      </c>
      <c r="E782" s="88">
        <f>SUM(E783:E784)</f>
        <v>0</v>
      </c>
      <c r="F782" s="88">
        <f>SUM(F783:F784)</f>
        <v>0</v>
      </c>
      <c r="G782" s="88">
        <f>SUM(G783:G784)</f>
        <v>0</v>
      </c>
      <c r="H782" s="86">
        <f>SUM(H783:H784)</f>
        <v>0</v>
      </c>
      <c r="K782" s="9" t="s">
        <v>19</v>
      </c>
      <c r="L782" s="10" t="s">
        <v>20</v>
      </c>
      <c r="M782" s="11" t="s">
        <v>10</v>
      </c>
      <c r="N782" s="88">
        <f>SUM(N783:N784)</f>
        <v>0</v>
      </c>
      <c r="O782" s="88">
        <f>SUM(O783:O784)</f>
        <v>0</v>
      </c>
      <c r="P782" s="88">
        <f>SUM(P783:P784)</f>
        <v>0</v>
      </c>
      <c r="Q782" s="86">
        <f>SUM(Q783:Q784)</f>
        <v>0</v>
      </c>
      <c r="T782" s="9" t="s">
        <v>19</v>
      </c>
      <c r="U782" s="10" t="s">
        <v>20</v>
      </c>
      <c r="V782" s="11" t="s">
        <v>10</v>
      </c>
      <c r="W782" s="86">
        <f t="shared" ref="W782:AB782" si="83">SUM(W783:W784)</f>
        <v>0</v>
      </c>
      <c r="X782" s="86">
        <f t="shared" si="83"/>
        <v>0</v>
      </c>
      <c r="Y782" s="86">
        <f t="shared" si="83"/>
        <v>0</v>
      </c>
      <c r="Z782" s="86">
        <f t="shared" si="83"/>
        <v>0</v>
      </c>
      <c r="AA782" s="86">
        <f t="shared" si="83"/>
        <v>0</v>
      </c>
      <c r="AB782" s="86">
        <f t="shared" si="83"/>
        <v>0</v>
      </c>
      <c r="AC782" s="146"/>
      <c r="AK782" s="146"/>
      <c r="AL782" s="146"/>
      <c r="AM782" s="146"/>
      <c r="AN782" s="146"/>
    </row>
    <row r="783" spans="2:40" x14ac:dyDescent="0.25">
      <c r="B783" s="12" t="s">
        <v>21</v>
      </c>
      <c r="C783" s="12" t="s">
        <v>22</v>
      </c>
      <c r="D783" s="3" t="s">
        <v>10</v>
      </c>
      <c r="E783" s="30">
        <v>0</v>
      </c>
      <c r="F783" s="457">
        <f>IF(YEAR(Postup!$H$25)&gt;$D$764,Provozování!BH28,IF(AND(DAY(Postup!$H$25)=31,MONTH(Postup!$H$25)=12,YEAR(Postup!$H$25)=$D$764),Provozování!BH28,IF(YEAR(Postup!$H$25)=$D$764,Provozování!$BL28,0)))</f>
        <v>0</v>
      </c>
      <c r="G783" s="30">
        <v>0</v>
      </c>
      <c r="H783" s="457">
        <f>IF(YEAR(Postup!$H$25)&gt;$D$764,Provozování!BI28,IF(AND(DAY(Postup!$H$25)=31,MONTH(Postup!$H$25)=12,YEAR(Postup!$H$25)=$D$764),Provozování!BI28,IF(YEAR(Postup!$H$25)=$D$764,Provozování!$BM28,0)))</f>
        <v>0</v>
      </c>
      <c r="K783" s="12" t="s">
        <v>21</v>
      </c>
      <c r="L783" s="12" t="s">
        <v>22</v>
      </c>
      <c r="M783" s="3" t="s">
        <v>10</v>
      </c>
      <c r="N783" s="30">
        <v>0</v>
      </c>
      <c r="O783" s="457">
        <f>IF(Provozování!$BJ$16="Neaktivní",0,Provozování!BJ28)</f>
        <v>0</v>
      </c>
      <c r="P783" s="30">
        <v>0</v>
      </c>
      <c r="Q783" s="457">
        <f>IF(Provozování!$BJ$16="Neaktivní",0,Provozování!BK28)</f>
        <v>0</v>
      </c>
      <c r="T783" s="12" t="s">
        <v>21</v>
      </c>
      <c r="U783" s="12" t="s">
        <v>22</v>
      </c>
      <c r="V783" s="3" t="s">
        <v>10</v>
      </c>
      <c r="W783" s="462">
        <v>0</v>
      </c>
      <c r="X783" s="44">
        <f>IF(Provozování!$BJ$16="Neaktivní",F783,O783)</f>
        <v>0</v>
      </c>
      <c r="Y783" s="44">
        <f>W783-X783</f>
        <v>0</v>
      </c>
      <c r="Z783" s="464">
        <v>0</v>
      </c>
      <c r="AA783" s="44">
        <f>IF(Provozování!$BJ$16="Neaktivní",H783,Q783)</f>
        <v>0</v>
      </c>
      <c r="AB783" s="30">
        <f>Z783-AA783</f>
        <v>0</v>
      </c>
      <c r="AC783" s="146"/>
      <c r="AK783" s="146"/>
      <c r="AL783" s="146"/>
      <c r="AM783" s="146"/>
      <c r="AN783" s="146"/>
    </row>
    <row r="784" spans="2:40" x14ac:dyDescent="0.25">
      <c r="B784" s="12" t="s">
        <v>23</v>
      </c>
      <c r="C784" s="12" t="s">
        <v>24</v>
      </c>
      <c r="D784" s="3" t="s">
        <v>10</v>
      </c>
      <c r="E784" s="87">
        <v>0</v>
      </c>
      <c r="F784" s="457">
        <f>IF(YEAR(Postup!$H$25)&gt;$D$764,Provozování!BH29,IF(AND(DAY(Postup!$H$25)=31,MONTH(Postup!$H$25)=12,YEAR(Postup!$H$25)=$D$764),Provozování!BH29,IF(YEAR(Postup!$H$25)=$D$764,Provozování!$BL29,0)))</f>
        <v>0</v>
      </c>
      <c r="G784" s="87">
        <v>0</v>
      </c>
      <c r="H784" s="457">
        <f>IF(YEAR(Postup!$H$25)&gt;$D$764,Provozování!BI29,IF(AND(DAY(Postup!$H$25)=31,MONTH(Postup!$H$25)=12,YEAR(Postup!$H$25)=$D$764),Provozování!BI29,IF(YEAR(Postup!$H$25)=$D$764,Provozování!$BM29,0)))</f>
        <v>0</v>
      </c>
      <c r="K784" s="12" t="s">
        <v>23</v>
      </c>
      <c r="L784" s="12" t="s">
        <v>24</v>
      </c>
      <c r="M784" s="3" t="s">
        <v>10</v>
      </c>
      <c r="N784" s="87">
        <v>0</v>
      </c>
      <c r="O784" s="457">
        <f>IF(Provozování!$BJ$16="Neaktivní",0,Provozování!BJ29)</f>
        <v>0</v>
      </c>
      <c r="P784" s="87">
        <v>0</v>
      </c>
      <c r="Q784" s="457">
        <f>IF(Provozování!$BJ$16="Neaktivní",0,Provozování!BK29)</f>
        <v>0</v>
      </c>
      <c r="T784" s="12" t="s">
        <v>23</v>
      </c>
      <c r="U784" s="12" t="s">
        <v>24</v>
      </c>
      <c r="V784" s="3" t="s">
        <v>10</v>
      </c>
      <c r="W784" s="463">
        <v>0</v>
      </c>
      <c r="X784" s="44">
        <f>IF(Provozování!$BJ$16="Neaktivní",F784,O784)</f>
        <v>0</v>
      </c>
      <c r="Y784" s="44">
        <f>W784-X784</f>
        <v>0</v>
      </c>
      <c r="Z784" s="465">
        <v>0</v>
      </c>
      <c r="AA784" s="44">
        <f>IF(Provozování!$BJ$16="Neaktivní",H784,Q784)</f>
        <v>0</v>
      </c>
      <c r="AB784" s="30">
        <f>Z784-AA784</f>
        <v>0</v>
      </c>
      <c r="AC784" s="146"/>
      <c r="AK784" s="146"/>
      <c r="AL784" s="146"/>
      <c r="AM784" s="146"/>
      <c r="AN784" s="146"/>
    </row>
    <row r="785" spans="2:40" x14ac:dyDescent="0.25">
      <c r="B785" s="9" t="s">
        <v>25</v>
      </c>
      <c r="C785" s="10" t="s">
        <v>400</v>
      </c>
      <c r="D785" s="11" t="s">
        <v>10</v>
      </c>
      <c r="E785" s="41">
        <f>SUM(E786:E787)</f>
        <v>0</v>
      </c>
      <c r="F785" s="41">
        <f>SUM(F786:F787)</f>
        <v>0</v>
      </c>
      <c r="G785" s="41">
        <f>SUM(G786:G787)</f>
        <v>0</v>
      </c>
      <c r="H785" s="86">
        <f>SUM(H786:H787)</f>
        <v>0</v>
      </c>
      <c r="K785" s="9" t="s">
        <v>25</v>
      </c>
      <c r="L785" s="10" t="s">
        <v>400</v>
      </c>
      <c r="M785" s="11" t="s">
        <v>10</v>
      </c>
      <c r="N785" s="41">
        <f>SUM(N786:N787)</f>
        <v>0</v>
      </c>
      <c r="O785" s="41">
        <f>SUM(O786:O787)</f>
        <v>0</v>
      </c>
      <c r="P785" s="41">
        <f>SUM(P786:P787)</f>
        <v>0</v>
      </c>
      <c r="Q785" s="86">
        <f>SUM(Q786:Q787)</f>
        <v>0</v>
      </c>
      <c r="T785" s="9" t="s">
        <v>25</v>
      </c>
      <c r="U785" s="10" t="s">
        <v>400</v>
      </c>
      <c r="V785" s="11" t="s">
        <v>10</v>
      </c>
      <c r="W785" s="86">
        <f t="shared" ref="W785:AB785" si="84">SUM(W786:W787)</f>
        <v>0</v>
      </c>
      <c r="X785" s="86">
        <f t="shared" si="84"/>
        <v>0</v>
      </c>
      <c r="Y785" s="86">
        <f t="shared" si="84"/>
        <v>0</v>
      </c>
      <c r="Z785" s="86">
        <f t="shared" si="84"/>
        <v>0</v>
      </c>
      <c r="AA785" s="86">
        <f t="shared" si="84"/>
        <v>0</v>
      </c>
      <c r="AB785" s="86">
        <f t="shared" si="84"/>
        <v>0</v>
      </c>
      <c r="AC785" s="146"/>
      <c r="AD785" s="146"/>
      <c r="AK785" s="146"/>
      <c r="AL785" s="146"/>
      <c r="AM785" s="146"/>
      <c r="AN785" s="146"/>
    </row>
    <row r="786" spans="2:40" x14ac:dyDescent="0.25">
      <c r="B786" s="12" t="s">
        <v>26</v>
      </c>
      <c r="C786" s="13" t="s">
        <v>390</v>
      </c>
      <c r="D786" s="3" t="s">
        <v>10</v>
      </c>
      <c r="E786" s="44">
        <v>0</v>
      </c>
      <c r="F786" s="457">
        <f>IF(YEAR(Postup!$H$25)&gt;$D$764,Provozování!BH31,IF(AND(DAY(Postup!$H$25)=31,MONTH(Postup!$H$25)=12,YEAR(Postup!$H$25)=$D$764),Provozování!BH31,IF(YEAR(Postup!$H$25)=$D$764,Provozování!$BL31,0)))</f>
        <v>0</v>
      </c>
      <c r="G786" s="44">
        <v>0</v>
      </c>
      <c r="H786" s="457">
        <f>IF(YEAR(Postup!$H$25)&gt;$D$764,Provozování!BI31,IF(AND(DAY(Postup!$H$25)=31,MONTH(Postup!$H$25)=12,YEAR(Postup!$H$25)=$D$764),Provozování!BI31,IF(YEAR(Postup!$H$25)=$D$764,Provozování!$BM31,0)))</f>
        <v>0</v>
      </c>
      <c r="K786" s="12" t="s">
        <v>26</v>
      </c>
      <c r="L786" s="13" t="s">
        <v>390</v>
      </c>
      <c r="M786" s="3" t="s">
        <v>10</v>
      </c>
      <c r="N786" s="44">
        <v>0</v>
      </c>
      <c r="O786" s="457">
        <f>IF(Provozování!$BJ$16="Neaktivní",0,Provozování!BJ31)</f>
        <v>0</v>
      </c>
      <c r="P786" s="44">
        <v>0</v>
      </c>
      <c r="Q786" s="457">
        <f>IF(Provozování!$BJ$16="Neaktivní",0,Provozování!BK31)</f>
        <v>0</v>
      </c>
      <c r="T786" s="12" t="s">
        <v>26</v>
      </c>
      <c r="U786" s="13" t="s">
        <v>390</v>
      </c>
      <c r="V786" s="3" t="s">
        <v>10</v>
      </c>
      <c r="W786" s="462">
        <v>0</v>
      </c>
      <c r="X786" s="44">
        <f>IF(Provozování!$BJ$16="Neaktivní",F786,O786)</f>
        <v>0</v>
      </c>
      <c r="Y786" s="44">
        <f>W786-X786</f>
        <v>0</v>
      </c>
      <c r="Z786" s="462">
        <v>0</v>
      </c>
      <c r="AA786" s="44">
        <f>IF(Provozování!$BJ$16="Neaktivní",H786,Q786)</f>
        <v>0</v>
      </c>
      <c r="AB786" s="30">
        <f>Z786-AA786</f>
        <v>0</v>
      </c>
      <c r="AC786" s="146"/>
      <c r="AD786" s="146"/>
      <c r="AK786" s="146"/>
      <c r="AL786" s="146"/>
      <c r="AM786" s="146"/>
      <c r="AN786" s="146"/>
    </row>
    <row r="787" spans="2:40" x14ac:dyDescent="0.25">
      <c r="B787" s="12" t="s">
        <v>27</v>
      </c>
      <c r="C787" s="13" t="s">
        <v>401</v>
      </c>
      <c r="D787" s="3" t="s">
        <v>10</v>
      </c>
      <c r="E787" s="44">
        <v>0</v>
      </c>
      <c r="F787" s="457">
        <f>IF(YEAR(Postup!$H$25)&gt;$D$764,Provozování!BH32,IF(AND(DAY(Postup!$H$25)=31,MONTH(Postup!$H$25)=12,YEAR(Postup!$H$25)=$D$764),Provozování!BH32,IF(YEAR(Postup!$H$25)=$D$764,Provozování!$BL32,0)))</f>
        <v>0</v>
      </c>
      <c r="G787" s="44">
        <v>0</v>
      </c>
      <c r="H787" s="457">
        <f>IF(YEAR(Postup!$H$25)&gt;$D$764,Provozování!BI32,IF(AND(DAY(Postup!$H$25)=31,MONTH(Postup!$H$25)=12,YEAR(Postup!$H$25)=$D$764),Provozování!BI32,IF(YEAR(Postup!$H$25)=$D$764,Provozování!$BM32,0)))</f>
        <v>0</v>
      </c>
      <c r="K787" s="12" t="s">
        <v>27</v>
      </c>
      <c r="L787" s="13" t="s">
        <v>401</v>
      </c>
      <c r="M787" s="3" t="s">
        <v>10</v>
      </c>
      <c r="N787" s="44">
        <v>0</v>
      </c>
      <c r="O787" s="457">
        <f>IF(Provozování!$BJ$16="Neaktivní",0,Provozování!BJ32)</f>
        <v>0</v>
      </c>
      <c r="P787" s="44">
        <v>0</v>
      </c>
      <c r="Q787" s="457">
        <f>IF(Provozování!$BJ$16="Neaktivní",0,Provozování!BK32)</f>
        <v>0</v>
      </c>
      <c r="T787" s="12" t="s">
        <v>27</v>
      </c>
      <c r="U787" s="13" t="s">
        <v>401</v>
      </c>
      <c r="V787" s="3" t="s">
        <v>10</v>
      </c>
      <c r="W787" s="462">
        <v>0</v>
      </c>
      <c r="X787" s="44">
        <f>IF(Provozování!$BJ$16="Neaktivní",F787,O787)</f>
        <v>0</v>
      </c>
      <c r="Y787" s="44">
        <f>W787-X787</f>
        <v>0</v>
      </c>
      <c r="Z787" s="462">
        <v>0</v>
      </c>
      <c r="AA787" s="44">
        <f>IF(Provozování!$BJ$16="Neaktivní",H787,Q787)</f>
        <v>0</v>
      </c>
      <c r="AB787" s="30">
        <f>Z787-AA787</f>
        <v>0</v>
      </c>
      <c r="AC787" s="146"/>
      <c r="AD787" s="146"/>
      <c r="AK787" s="146"/>
      <c r="AL787" s="146"/>
      <c r="AM787" s="146"/>
      <c r="AN787" s="146"/>
    </row>
    <row r="788" spans="2:40" x14ac:dyDescent="0.25">
      <c r="B788" s="9" t="s">
        <v>28</v>
      </c>
      <c r="C788" s="10" t="s">
        <v>29</v>
      </c>
      <c r="D788" s="11" t="s">
        <v>10</v>
      </c>
      <c r="E788" s="41">
        <f>SUM(E789:E792)</f>
        <v>0</v>
      </c>
      <c r="F788" s="41">
        <f>SUM(F789:F792)</f>
        <v>0</v>
      </c>
      <c r="G788" s="41">
        <f>SUM(G789:G792)</f>
        <v>0</v>
      </c>
      <c r="H788" s="86">
        <f>SUM(H789:H792)</f>
        <v>0</v>
      </c>
      <c r="K788" s="9" t="s">
        <v>28</v>
      </c>
      <c r="L788" s="10" t="s">
        <v>29</v>
      </c>
      <c r="M788" s="11" t="s">
        <v>10</v>
      </c>
      <c r="N788" s="41">
        <f>SUM(N789:N792)</f>
        <v>0</v>
      </c>
      <c r="O788" s="41">
        <f>SUM(O789:O792)</f>
        <v>0</v>
      </c>
      <c r="P788" s="41">
        <f>SUM(P789:P792)</f>
        <v>0</v>
      </c>
      <c r="Q788" s="86">
        <f>SUM(Q789:Q792)</f>
        <v>0</v>
      </c>
      <c r="T788" s="9" t="s">
        <v>28</v>
      </c>
      <c r="U788" s="10" t="s">
        <v>29</v>
      </c>
      <c r="V788" s="11" t="s">
        <v>10</v>
      </c>
      <c r="W788" s="86">
        <f t="shared" ref="W788:AB788" si="85">SUM(W789:W792)</f>
        <v>0</v>
      </c>
      <c r="X788" s="86">
        <f t="shared" si="85"/>
        <v>0</v>
      </c>
      <c r="Y788" s="86">
        <f t="shared" si="85"/>
        <v>0</v>
      </c>
      <c r="Z788" s="86">
        <f t="shared" si="85"/>
        <v>0</v>
      </c>
      <c r="AA788" s="86">
        <f t="shared" si="85"/>
        <v>0</v>
      </c>
      <c r="AB788" s="86">
        <f t="shared" si="85"/>
        <v>0</v>
      </c>
      <c r="AC788" s="146"/>
      <c r="AD788" s="146"/>
      <c r="AK788" s="146"/>
      <c r="AL788" s="146"/>
      <c r="AM788" s="146"/>
      <c r="AN788" s="146"/>
    </row>
    <row r="789" spans="2:40" x14ac:dyDescent="0.25">
      <c r="B789" s="12" t="s">
        <v>30</v>
      </c>
      <c r="C789" s="12" t="s">
        <v>381</v>
      </c>
      <c r="D789" s="3" t="s">
        <v>10</v>
      </c>
      <c r="E789" s="44">
        <v>0</v>
      </c>
      <c r="F789" s="336">
        <f>IF(YEAR(Postup!$H$25)&gt;$D$764,Provozování!BH34,IF(AND(DAY(Postup!$H$25)=31,MONTH(Postup!$H$25)=12,YEAR(Postup!$H$25)=$D$764),Provozování!BH34,IF(YEAR(Postup!$H$25)=$D$764,Provozování!$BL34,0)))</f>
        <v>0</v>
      </c>
      <c r="G789" s="44">
        <v>0</v>
      </c>
      <c r="H789" s="335">
        <f>IF(YEAR(Postup!$H$25)&gt;$D$764,Provozování!BI34,IF(AND(DAY(Postup!$H$25)=31,MONTH(Postup!$H$25)=12,YEAR(Postup!$H$25)=$D$764),Provozování!BI34,IF(YEAR(Postup!$H$25)=$D$764,Provozování!$BM34,0)))</f>
        <v>0</v>
      </c>
      <c r="K789" s="12" t="s">
        <v>30</v>
      </c>
      <c r="L789" s="12" t="s">
        <v>381</v>
      </c>
      <c r="M789" s="3" t="s">
        <v>10</v>
      </c>
      <c r="N789" s="44">
        <v>0</v>
      </c>
      <c r="O789" s="640">
        <f>IF(Provozování!$BJ$16="Neaktivní",0,Provozování!BJ34)</f>
        <v>0</v>
      </c>
      <c r="P789" s="44">
        <v>0</v>
      </c>
      <c r="Q789" s="772">
        <f>IF(Provozování!$BJ$16="Neaktivní",0,Provozování!BK34)</f>
        <v>0</v>
      </c>
      <c r="T789" s="12" t="s">
        <v>30</v>
      </c>
      <c r="U789" s="12" t="s">
        <v>381</v>
      </c>
      <c r="V789" s="3" t="s">
        <v>10</v>
      </c>
      <c r="W789" s="462">
        <v>0</v>
      </c>
      <c r="X789" s="44">
        <f>IF(Provozování!$BJ$16="Neaktivní",F789,O789)</f>
        <v>0</v>
      </c>
      <c r="Y789" s="44">
        <f>W789-X789</f>
        <v>0</v>
      </c>
      <c r="Z789" s="462">
        <v>0</v>
      </c>
      <c r="AA789" s="44">
        <f>IF(Provozování!$BJ$16="Neaktivní",H789,Q789)</f>
        <v>0</v>
      </c>
      <c r="AB789" s="30">
        <f>Z789-AA789</f>
        <v>0</v>
      </c>
      <c r="AC789" s="146"/>
      <c r="AD789" s="146"/>
      <c r="AK789" s="146"/>
      <c r="AL789" s="146"/>
      <c r="AM789" s="146"/>
      <c r="AN789" s="146"/>
    </row>
    <row r="790" spans="2:40" x14ac:dyDescent="0.25">
      <c r="B790" s="12" t="s">
        <v>32</v>
      </c>
      <c r="C790" s="12" t="s">
        <v>383</v>
      </c>
      <c r="D790" s="3" t="s">
        <v>10</v>
      </c>
      <c r="E790" s="44">
        <v>0</v>
      </c>
      <c r="F790" s="662">
        <f>IF(YEAR(Postup!$H$25)&gt;$D$764,Provozování!BH35,IF(AND(DAY(Postup!$H$25)=31,MONTH(Postup!$H$25)=12,YEAR(Postup!$H$25)=$D$764),Provozování!BH35,IF(YEAR(Postup!$H$25)=$D$764,Provozování!$BL35,0)))</f>
        <v>0</v>
      </c>
      <c r="G790" s="44">
        <v>0</v>
      </c>
      <c r="H790" s="663">
        <f>IF(YEAR(Postup!$H$25)&gt;$D$764,Provozování!BI35,IF(AND(DAY(Postup!$H$25)=31,MONTH(Postup!$H$25)=12,YEAR(Postup!$H$25)=$D$764),Provozování!BI35,IF(YEAR(Postup!$H$25)=$D$764,Provozování!$BM35,0)))</f>
        <v>0</v>
      </c>
      <c r="K790" s="12" t="s">
        <v>32</v>
      </c>
      <c r="L790" s="12" t="s">
        <v>383</v>
      </c>
      <c r="M790" s="3" t="s">
        <v>10</v>
      </c>
      <c r="N790" s="44">
        <v>0</v>
      </c>
      <c r="O790" s="666">
        <f>IF(Provozování!$BJ$16="Neaktivní",0,Provozování!BJ35)</f>
        <v>0</v>
      </c>
      <c r="P790" s="44">
        <v>0</v>
      </c>
      <c r="Q790" s="669">
        <f>IF(Provozování!$BJ$16="Neaktivní",0,Provozování!BK35)</f>
        <v>0</v>
      </c>
      <c r="T790" s="12" t="s">
        <v>32</v>
      </c>
      <c r="U790" s="12" t="s">
        <v>383</v>
      </c>
      <c r="V790" s="3" t="s">
        <v>10</v>
      </c>
      <c r="W790" s="456">
        <f>IF(Provozování!$BJ$16="Aktivní",O790,F790)</f>
        <v>0</v>
      </c>
      <c r="X790" s="44">
        <f>IF(Provozování!$BJ$16="Neaktivní",F790,O790)</f>
        <v>0</v>
      </c>
      <c r="Y790" s="44">
        <f>W790-X790</f>
        <v>0</v>
      </c>
      <c r="Z790" s="456">
        <f>IF(Provozování!$BJ$16="Aktivní",Q790,H790)</f>
        <v>0</v>
      </c>
      <c r="AA790" s="44">
        <f>IF(Provozování!$BJ$16="Neaktivní",H790,Q790)</f>
        <v>0</v>
      </c>
      <c r="AB790" s="30">
        <f>Z790-AA790</f>
        <v>0</v>
      </c>
      <c r="AC790" s="146"/>
      <c r="AD790" s="146"/>
      <c r="AK790" s="146"/>
      <c r="AL790" s="146"/>
      <c r="AM790" s="146"/>
      <c r="AN790" s="146"/>
    </row>
    <row r="791" spans="2:40" x14ac:dyDescent="0.25">
      <c r="B791" s="12" t="s">
        <v>33</v>
      </c>
      <c r="C791" s="12" t="s">
        <v>382</v>
      </c>
      <c r="D791" s="3" t="s">
        <v>10</v>
      </c>
      <c r="E791" s="44">
        <v>0</v>
      </c>
      <c r="F791" s="336">
        <f>IF(YEAR(Postup!$H$25)&gt;$D$764,Provozování!BH36,IF(AND(DAY(Postup!$H$25)=31,MONTH(Postup!$H$25)=12,YEAR(Postup!$H$25)=$D$764),Provozování!BH36,IF(YEAR(Postup!$H$25)=$D$764,Provozování!$BL36,0)))</f>
        <v>0</v>
      </c>
      <c r="G791" s="44">
        <v>0</v>
      </c>
      <c r="H791" s="335">
        <f>IF(YEAR(Postup!$H$25)&gt;$D$764,Provozování!BI36,IF(AND(DAY(Postup!$H$25)=31,MONTH(Postup!$H$25)=12,YEAR(Postup!$H$25)=$D$764),Provozování!BI36,IF(YEAR(Postup!$H$25)=$D$764,Provozování!$BM36,0)))</f>
        <v>0</v>
      </c>
      <c r="K791" s="12" t="s">
        <v>33</v>
      </c>
      <c r="L791" s="12" t="s">
        <v>382</v>
      </c>
      <c r="M791" s="3" t="s">
        <v>10</v>
      </c>
      <c r="N791" s="44">
        <v>0</v>
      </c>
      <c r="O791" s="640">
        <f>IF(Provozování!$BJ$16="Neaktivní",0,Provozování!BJ36)</f>
        <v>0</v>
      </c>
      <c r="P791" s="44">
        <v>0</v>
      </c>
      <c r="Q791" s="772">
        <f>IF(Provozování!$BJ$16="Neaktivní",0,Provozování!BK36)</f>
        <v>0</v>
      </c>
      <c r="T791" s="12" t="s">
        <v>33</v>
      </c>
      <c r="U791" s="12" t="s">
        <v>382</v>
      </c>
      <c r="V791" s="3" t="s">
        <v>10</v>
      </c>
      <c r="W791" s="462">
        <v>0</v>
      </c>
      <c r="X791" s="44">
        <f>IF(Provozování!$BJ$16="Neaktivní",F791,O791)</f>
        <v>0</v>
      </c>
      <c r="Y791" s="44">
        <f>W791-X791</f>
        <v>0</v>
      </c>
      <c r="Z791" s="462">
        <v>0</v>
      </c>
      <c r="AA791" s="44">
        <f>IF(Provozování!$BJ$16="Neaktivní",H791,Q791)</f>
        <v>0</v>
      </c>
      <c r="AB791" s="30">
        <f>Z791-AA791</f>
        <v>0</v>
      </c>
      <c r="AC791" s="146"/>
      <c r="AD791" s="146"/>
      <c r="AK791" s="146"/>
      <c r="AL791" s="146"/>
      <c r="AM791" s="146"/>
      <c r="AN791" s="146"/>
    </row>
    <row r="792" spans="2:40" x14ac:dyDescent="0.25">
      <c r="B792" s="12" t="s">
        <v>34</v>
      </c>
      <c r="C792" s="497" t="s">
        <v>384</v>
      </c>
      <c r="D792" s="3" t="s">
        <v>10</v>
      </c>
      <c r="E792" s="44">
        <v>0</v>
      </c>
      <c r="F792" s="666">
        <f>IF(YEAR(Postup!$H$25)&gt;$D$764,Provozování!BH37,IF(AND(DAY(Postup!$H$25)=31,MONTH(Postup!$H$25)=12,YEAR(Postup!$H$25)=$D$764),Provozování!BH37,IF(YEAR(Postup!$H$25)=$D$764,Provozování!$BL37,0)))</f>
        <v>0</v>
      </c>
      <c r="G792" s="44">
        <v>0</v>
      </c>
      <c r="H792" s="667">
        <f>IF(YEAR(Postup!$H$25)&gt;$D$764,Provozování!BI37,IF(AND(DAY(Postup!$H$25)=31,MONTH(Postup!$H$25)=12,YEAR(Postup!$H$25)=$D$764),Provozování!BI37,IF(YEAR(Postup!$H$25)=$D$764,Provozování!$BM37,0)))</f>
        <v>0</v>
      </c>
      <c r="K792" s="12" t="s">
        <v>34</v>
      </c>
      <c r="L792" s="497" t="s">
        <v>384</v>
      </c>
      <c r="M792" s="3" t="s">
        <v>10</v>
      </c>
      <c r="N792" s="44">
        <v>0</v>
      </c>
      <c r="O792" s="666">
        <f>IF(Provozování!$BJ$16="Neaktivní",0,Provozování!BJ37)</f>
        <v>0</v>
      </c>
      <c r="P792" s="44">
        <v>0</v>
      </c>
      <c r="Q792" s="667">
        <f>IF(Provozování!$BJ$16="Neaktivní",0,Provozování!BK37)</f>
        <v>0</v>
      </c>
      <c r="T792" s="12" t="s">
        <v>34</v>
      </c>
      <c r="U792" s="497" t="s">
        <v>384</v>
      </c>
      <c r="V792" s="3" t="s">
        <v>10</v>
      </c>
      <c r="W792" s="336">
        <f>IF(Provozování!$BJ$16="Aktivní",O792,F792)</f>
        <v>0</v>
      </c>
      <c r="X792" s="337">
        <f>IF(Provozování!$BJ$16="Neaktivní",F792,O792)</f>
        <v>0</v>
      </c>
      <c r="Y792" s="337">
        <f>W792-X792</f>
        <v>0</v>
      </c>
      <c r="Z792" s="336">
        <f>IF(Provozování!$BJ$16="Aktivní",Q792,H792)</f>
        <v>0</v>
      </c>
      <c r="AA792" s="337">
        <f>IF(Provozování!$BJ$16="Neaktivní",H792,Q792)</f>
        <v>0</v>
      </c>
      <c r="AB792" s="334">
        <f>Z792-AA792</f>
        <v>0</v>
      </c>
      <c r="AC792" s="146"/>
      <c r="AD792" s="146"/>
      <c r="AE792" s="1073" t="s">
        <v>291</v>
      </c>
      <c r="AF792" s="1074"/>
      <c r="AG792" s="339">
        <f>Y774</f>
        <v>2034</v>
      </c>
      <c r="AH792" s="339">
        <f>AG792</f>
        <v>2034</v>
      </c>
      <c r="AK792" s="146"/>
      <c r="AL792" s="146"/>
      <c r="AM792" s="146"/>
      <c r="AN792" s="146"/>
    </row>
    <row r="793" spans="2:40" x14ac:dyDescent="0.25">
      <c r="B793" s="9" t="s">
        <v>35</v>
      </c>
      <c r="C793" s="10" t="s">
        <v>387</v>
      </c>
      <c r="D793" s="11" t="s">
        <v>10</v>
      </c>
      <c r="E793" s="41">
        <f>SUM(E794:E796)</f>
        <v>0</v>
      </c>
      <c r="F793" s="41">
        <f>SUM(F794:F796)</f>
        <v>0</v>
      </c>
      <c r="G793" s="41">
        <f>SUM(G794:G796)</f>
        <v>0</v>
      </c>
      <c r="H793" s="86">
        <f>SUM(H794:H796)</f>
        <v>0</v>
      </c>
      <c r="K793" s="9" t="s">
        <v>35</v>
      </c>
      <c r="L793" s="10" t="s">
        <v>387</v>
      </c>
      <c r="M793" s="11" t="s">
        <v>10</v>
      </c>
      <c r="N793" s="41">
        <f>SUM(N794:N796)</f>
        <v>0</v>
      </c>
      <c r="O793" s="41">
        <f>SUM(O794:O796)</f>
        <v>0</v>
      </c>
      <c r="P793" s="41">
        <f>SUM(P794:P796)</f>
        <v>0</v>
      </c>
      <c r="Q793" s="86">
        <f>SUM(Q794:Q796)</f>
        <v>0</v>
      </c>
      <c r="T793" s="9" t="s">
        <v>35</v>
      </c>
      <c r="U793" s="10" t="s">
        <v>387</v>
      </c>
      <c r="V793" s="11" t="s">
        <v>10</v>
      </c>
      <c r="W793" s="86">
        <f t="shared" ref="W793:AB793" si="86">SUM(W794:W796)</f>
        <v>0</v>
      </c>
      <c r="X793" s="86">
        <f t="shared" si="86"/>
        <v>0</v>
      </c>
      <c r="Y793" s="86">
        <f t="shared" si="86"/>
        <v>0</v>
      </c>
      <c r="Z793" s="86">
        <f t="shared" si="86"/>
        <v>0</v>
      </c>
      <c r="AA793" s="86">
        <f t="shared" si="86"/>
        <v>0</v>
      </c>
      <c r="AB793" s="86">
        <f t="shared" si="86"/>
        <v>0</v>
      </c>
      <c r="AC793" s="146"/>
      <c r="AD793" s="146"/>
      <c r="AE793" s="1075"/>
      <c r="AF793" s="1076"/>
      <c r="AG793" s="1072" t="s">
        <v>238</v>
      </c>
      <c r="AH793" s="1072" t="s">
        <v>239</v>
      </c>
      <c r="AK793" s="146"/>
      <c r="AL793" s="146"/>
      <c r="AM793" s="146"/>
      <c r="AN793" s="146"/>
    </row>
    <row r="794" spans="2:40" x14ac:dyDescent="0.25">
      <c r="B794" s="12" t="s">
        <v>37</v>
      </c>
      <c r="C794" s="13" t="s">
        <v>38</v>
      </c>
      <c r="D794" s="3" t="s">
        <v>10</v>
      </c>
      <c r="E794" s="44">
        <v>0</v>
      </c>
      <c r="F794" s="337">
        <v>0</v>
      </c>
      <c r="G794" s="44">
        <v>0</v>
      </c>
      <c r="H794" s="30">
        <f>IF(YEAR(Postup!$H$25)&gt;$D$764,Provozování!BI39,IF(AND(DAY(Postup!$H$25)=31,MONTH(Postup!$H$25)=12,YEAR(Postup!$H$25)=$D$764),Provozování!BI39,IF(YEAR(Postup!$H$25)=$D$764,Provozování!$BM39,0)))</f>
        <v>0</v>
      </c>
      <c r="K794" s="12" t="s">
        <v>37</v>
      </c>
      <c r="L794" s="13" t="s">
        <v>38</v>
      </c>
      <c r="M794" s="3" t="s">
        <v>10</v>
      </c>
      <c r="N794" s="44">
        <v>0</v>
      </c>
      <c r="O794" s="337">
        <v>0</v>
      </c>
      <c r="P794" s="44">
        <v>0</v>
      </c>
      <c r="Q794" s="53">
        <f>IF(Provozování!$BJ$16="Neaktivní",0,Provozování!BK39)</f>
        <v>0</v>
      </c>
      <c r="T794" s="12" t="s">
        <v>37</v>
      </c>
      <c r="U794" s="13" t="s">
        <v>38</v>
      </c>
      <c r="V794" s="3" t="s">
        <v>10</v>
      </c>
      <c r="W794" s="337">
        <v>0</v>
      </c>
      <c r="X794" s="337">
        <v>0</v>
      </c>
      <c r="Y794" s="337">
        <v>0</v>
      </c>
      <c r="Z794" s="462">
        <v>0</v>
      </c>
      <c r="AA794" s="44">
        <f>IF(Provozování!$BJ$16="Neaktivní",H794,Q794)</f>
        <v>0</v>
      </c>
      <c r="AB794" s="30">
        <f>Z794-AA794</f>
        <v>0</v>
      </c>
      <c r="AC794" s="146"/>
      <c r="AD794" s="146"/>
      <c r="AE794" s="1077"/>
      <c r="AF794" s="1078"/>
      <c r="AG794" s="1000"/>
      <c r="AH794" s="1000"/>
      <c r="AK794" s="146"/>
      <c r="AL794" s="146"/>
      <c r="AM794" s="146"/>
      <c r="AN794" s="146"/>
    </row>
    <row r="795" spans="2:40" x14ac:dyDescent="0.25">
      <c r="B795" s="12" t="s">
        <v>39</v>
      </c>
      <c r="C795" s="12" t="s">
        <v>40</v>
      </c>
      <c r="D795" s="3" t="s">
        <v>10</v>
      </c>
      <c r="E795" s="44">
        <v>0</v>
      </c>
      <c r="F795" s="457">
        <f>IF(YEAR(Postup!$H$25)&gt;$D$764,Provozování!BH40,IF(AND(DAY(Postup!$H$25)=31,MONTH(Postup!$H$25)=12,YEAR(Postup!$H$25)=$D$764),Provozování!BH40,IF(YEAR(Postup!$H$25)=$D$764,Provozování!$BL40,0)))</f>
        <v>0</v>
      </c>
      <c r="G795" s="44">
        <v>0</v>
      </c>
      <c r="H795" s="457">
        <f>IF(YEAR(Postup!$H$25)&gt;$D$764,Provozování!BI40,IF(AND(DAY(Postup!$H$25)=31,MONTH(Postup!$H$25)=12,YEAR(Postup!$H$25)=$D$764),Provozování!BI40,IF(YEAR(Postup!$H$25)=$D$764,Provozování!$BM40,0)))</f>
        <v>0</v>
      </c>
      <c r="K795" s="12" t="s">
        <v>39</v>
      </c>
      <c r="L795" s="12" t="s">
        <v>40</v>
      </c>
      <c r="M795" s="3" t="s">
        <v>10</v>
      </c>
      <c r="N795" s="44">
        <v>0</v>
      </c>
      <c r="O795" s="457">
        <f>IF(Provozování!$BJ$16="Neaktivní",0,Provozování!BJ40)</f>
        <v>0</v>
      </c>
      <c r="P795" s="44">
        <v>0</v>
      </c>
      <c r="Q795" s="457">
        <f>IF(Provozování!$BJ$16="Neaktivní",0,Provozování!BK40)</f>
        <v>0</v>
      </c>
      <c r="T795" s="12" t="s">
        <v>39</v>
      </c>
      <c r="U795" s="12" t="s">
        <v>40</v>
      </c>
      <c r="V795" s="3" t="s">
        <v>10</v>
      </c>
      <c r="W795" s="462">
        <v>0</v>
      </c>
      <c r="X795" s="44">
        <f>IF(Provozování!$BJ$16="Neaktivní",F795,O795)</f>
        <v>0</v>
      </c>
      <c r="Y795" s="44">
        <f>W795-X795</f>
        <v>0</v>
      </c>
      <c r="Z795" s="462">
        <v>0</v>
      </c>
      <c r="AA795" s="44">
        <f>IF(Provozování!$BJ$16="Neaktivní",H795,Q795)</f>
        <v>0</v>
      </c>
      <c r="AB795" s="30">
        <f>Z795-AA795</f>
        <v>0</v>
      </c>
      <c r="AC795" s="146"/>
      <c r="AD795" s="146"/>
      <c r="AE795" s="12" t="s">
        <v>326</v>
      </c>
      <c r="AF795" s="12" t="s">
        <v>329</v>
      </c>
      <c r="AG795" s="423">
        <f>Z830</f>
        <v>0</v>
      </c>
      <c r="AH795" s="423">
        <f>AB830</f>
        <v>0</v>
      </c>
      <c r="AK795" s="146"/>
      <c r="AL795" s="146"/>
      <c r="AM795" s="146"/>
      <c r="AN795" s="146"/>
    </row>
    <row r="796" spans="2:40" x14ac:dyDescent="0.25">
      <c r="B796" s="12" t="s">
        <v>41</v>
      </c>
      <c r="C796" s="13" t="s">
        <v>42</v>
      </c>
      <c r="D796" s="3" t="s">
        <v>10</v>
      </c>
      <c r="E796" s="44">
        <v>0</v>
      </c>
      <c r="F796" s="457">
        <f>IF(YEAR(Postup!$H$25)&gt;$D$764,Provozování!BH41,IF(AND(DAY(Postup!$H$25)=31,MONTH(Postup!$H$25)=12,YEAR(Postup!$H$25)=$D$764),Provozování!BH41,IF(YEAR(Postup!$H$25)=$D$764,Provozování!$BL41,0)))</f>
        <v>0</v>
      </c>
      <c r="G796" s="44">
        <v>0</v>
      </c>
      <c r="H796" s="457">
        <f>IF(YEAR(Postup!$H$25)&gt;$D$764,Provozování!BI41,IF(AND(DAY(Postup!$H$25)=31,MONTH(Postup!$H$25)=12,YEAR(Postup!$H$25)=$D$764),Provozování!BI41,IF(YEAR(Postup!$H$25)=$D$764,Provozování!$BM41,0)))</f>
        <v>0</v>
      </c>
      <c r="K796" s="12" t="s">
        <v>41</v>
      </c>
      <c r="L796" s="13" t="s">
        <v>42</v>
      </c>
      <c r="M796" s="3" t="s">
        <v>10</v>
      </c>
      <c r="N796" s="44">
        <v>0</v>
      </c>
      <c r="O796" s="457">
        <f>IF(Provozování!$BJ$16="Neaktivní",0,Provozování!BJ41)</f>
        <v>0</v>
      </c>
      <c r="P796" s="44">
        <v>0</v>
      </c>
      <c r="Q796" s="457">
        <f>IF(Provozování!$BJ$16="Neaktivní",0,Provozování!BK41)</f>
        <v>0</v>
      </c>
      <c r="T796" s="12" t="s">
        <v>41</v>
      </c>
      <c r="U796" s="13" t="s">
        <v>42</v>
      </c>
      <c r="V796" s="3" t="s">
        <v>10</v>
      </c>
      <c r="W796" s="462">
        <v>0</v>
      </c>
      <c r="X796" s="44">
        <f>IF(Provozování!$BJ$16="Neaktivní",F796,O796)</f>
        <v>0</v>
      </c>
      <c r="Y796" s="44">
        <f>W796-X796</f>
        <v>0</v>
      </c>
      <c r="Z796" s="462">
        <v>0</v>
      </c>
      <c r="AA796" s="44">
        <f>IF(Provozování!$BJ$16="Neaktivní",H796,Q796)</f>
        <v>0</v>
      </c>
      <c r="AB796" s="30">
        <f>Z796-AA796</f>
        <v>0</v>
      </c>
      <c r="AC796" s="146"/>
      <c r="AD796" s="146"/>
      <c r="AE796" s="12" t="s">
        <v>327</v>
      </c>
      <c r="AF796" s="13" t="s">
        <v>331</v>
      </c>
      <c r="AG796" s="270">
        <f>Y829</f>
        <v>0</v>
      </c>
      <c r="AH796" s="270">
        <f>AA829</f>
        <v>0</v>
      </c>
      <c r="AK796" s="146"/>
      <c r="AL796" s="146"/>
      <c r="AM796" s="146"/>
      <c r="AN796" s="146"/>
    </row>
    <row r="797" spans="2:40" x14ac:dyDescent="0.25">
      <c r="B797" s="9" t="s">
        <v>43</v>
      </c>
      <c r="C797" s="10" t="s">
        <v>44</v>
      </c>
      <c r="D797" s="11" t="s">
        <v>10</v>
      </c>
      <c r="E797" s="44">
        <v>0</v>
      </c>
      <c r="F797" s="456">
        <f>IF(YEAR(Postup!$H$25)&gt;$D$764,Provozování!BH42,IF(AND(DAY(Postup!$H$25)=31,MONTH(Postup!$H$25)=12,YEAR(Postup!$H$25)=$D$764),Provozování!BH42,IF(YEAR(Postup!$H$25)=$D$764,Provozování!$BL42,0)))</f>
        <v>0</v>
      </c>
      <c r="G797" s="44">
        <v>0</v>
      </c>
      <c r="H797" s="457">
        <f>IF(YEAR(Postup!$H$25)&gt;$D$764,Provozování!BI42,IF(AND(DAY(Postup!$H$25)=31,MONTH(Postup!$H$25)=12,YEAR(Postup!$H$25)=$D$764),Provozování!BI42,IF(YEAR(Postup!$H$25)=$D$764,Provozování!$BM42,0)))</f>
        <v>0</v>
      </c>
      <c r="K797" s="9" t="s">
        <v>43</v>
      </c>
      <c r="L797" s="10" t="s">
        <v>44</v>
      </c>
      <c r="M797" s="11" t="s">
        <v>10</v>
      </c>
      <c r="N797" s="44">
        <v>0</v>
      </c>
      <c r="O797" s="456">
        <f>IF(Provozování!$BJ$16="Neaktivní",0,Provozování!BJ42)</f>
        <v>0</v>
      </c>
      <c r="P797" s="44">
        <v>0</v>
      </c>
      <c r="Q797" s="461">
        <f>IF(Provozování!$BJ$16="Neaktivní",0,Provozování!BK42)</f>
        <v>0</v>
      </c>
      <c r="T797" s="9" t="s">
        <v>43</v>
      </c>
      <c r="U797" s="10" t="s">
        <v>44</v>
      </c>
      <c r="V797" s="11" t="s">
        <v>10</v>
      </c>
      <c r="W797" s="462">
        <v>0</v>
      </c>
      <c r="X797" s="44">
        <f>IF(Provozování!$BJ$16="Neaktivní",F797,O797)</f>
        <v>0</v>
      </c>
      <c r="Y797" s="44">
        <f>W797-X797</f>
        <v>0</v>
      </c>
      <c r="Z797" s="462">
        <v>0</v>
      </c>
      <c r="AA797" s="44">
        <f>IF(Provozování!$BJ$16="Neaktivní",H797,Q797)</f>
        <v>0</v>
      </c>
      <c r="AB797" s="30">
        <f>Z797-AA797</f>
        <v>0</v>
      </c>
      <c r="AC797" s="146"/>
      <c r="AD797" s="146"/>
      <c r="AE797" s="12" t="s">
        <v>328</v>
      </c>
      <c r="AF797" s="13" t="s">
        <v>330</v>
      </c>
      <c r="AG797" s="270">
        <f>Z829</f>
        <v>0</v>
      </c>
      <c r="AH797" s="270">
        <f>AB829</f>
        <v>0</v>
      </c>
      <c r="AK797" s="146"/>
      <c r="AL797" s="146"/>
      <c r="AM797" s="146"/>
      <c r="AN797" s="146"/>
    </row>
    <row r="798" spans="2:40" x14ac:dyDescent="0.25">
      <c r="B798" s="9" t="s">
        <v>45</v>
      </c>
      <c r="C798" s="10" t="s">
        <v>388</v>
      </c>
      <c r="D798" s="11" t="s">
        <v>10</v>
      </c>
      <c r="E798" s="44">
        <v>0</v>
      </c>
      <c r="F798" s="456">
        <f>IF(YEAR(Postup!$H$25)&gt;$D$764,Provozování!BH43,IF(AND(DAY(Postup!$H$25)=31,MONTH(Postup!$H$25)=12,YEAR(Postup!$H$25)=$D$764),Provozování!BH43,IF(YEAR(Postup!$H$25)=$D$764,Provozování!$BL43,0)))</f>
        <v>0</v>
      </c>
      <c r="G798" s="44">
        <v>0</v>
      </c>
      <c r="H798" s="457">
        <f>IF(YEAR(Postup!$H$25)&gt;$D$764,Provozování!BI43,IF(AND(DAY(Postup!$H$25)=31,MONTH(Postup!$H$25)=12,YEAR(Postup!$H$25)=$D$764),Provozování!BI43,IF(YEAR(Postup!$H$25)=$D$764,Provozování!$BM43,0)))</f>
        <v>0</v>
      </c>
      <c r="K798" s="9" t="s">
        <v>45</v>
      </c>
      <c r="L798" s="10" t="s">
        <v>388</v>
      </c>
      <c r="M798" s="11" t="s">
        <v>10</v>
      </c>
      <c r="N798" s="44">
        <v>0</v>
      </c>
      <c r="O798" s="456">
        <f>IF(Provozování!$BJ$16="Neaktivní",0,Provozování!BJ43)</f>
        <v>0</v>
      </c>
      <c r="P798" s="44">
        <v>0</v>
      </c>
      <c r="Q798" s="461">
        <f>IF(Provozování!$BJ$16="Neaktivní",0,Provozování!BK43)</f>
        <v>0</v>
      </c>
      <c r="T798" s="9" t="s">
        <v>45</v>
      </c>
      <c r="U798" s="10" t="s">
        <v>388</v>
      </c>
      <c r="V798" s="11" t="s">
        <v>10</v>
      </c>
      <c r="W798" s="462">
        <v>0</v>
      </c>
      <c r="X798" s="44">
        <f>IF(Provozování!$BJ$16="Neaktivní",F798,O798)</f>
        <v>0</v>
      </c>
      <c r="Y798" s="44">
        <f>ABS(W798)-ABS(X798)</f>
        <v>0</v>
      </c>
      <c r="Z798" s="462">
        <v>0</v>
      </c>
      <c r="AA798" s="44">
        <f>IF(Provozování!$BJ$16="Neaktivní",H798,Q798)</f>
        <v>0</v>
      </c>
      <c r="AB798" s="30">
        <f>ABS(Z798)-ABS(AA798)</f>
        <v>0</v>
      </c>
      <c r="AC798" s="146"/>
      <c r="AD798" s="146"/>
      <c r="AE798" s="12" t="s">
        <v>332</v>
      </c>
      <c r="AF798" s="12" t="s">
        <v>340</v>
      </c>
      <c r="AG798" s="270">
        <f>X802-(X790+X792)</f>
        <v>0</v>
      </c>
      <c r="AH798" s="270">
        <f>AA802-(AA790+AA792)</f>
        <v>0</v>
      </c>
      <c r="AK798" s="146"/>
      <c r="AL798" s="146"/>
      <c r="AM798" s="146"/>
      <c r="AN798" s="146"/>
    </row>
    <row r="799" spans="2:40" x14ac:dyDescent="0.25">
      <c r="B799" s="9" t="s">
        <v>46</v>
      </c>
      <c r="C799" s="10" t="s">
        <v>47</v>
      </c>
      <c r="D799" s="11" t="s">
        <v>10</v>
      </c>
      <c r="E799" s="44">
        <v>0</v>
      </c>
      <c r="F799" s="457">
        <f>IF(YEAR(Postup!$H$25)&gt;$D$764,Provozování!BH44,IF(AND(DAY(Postup!$H$25)=31,MONTH(Postup!$H$25)=12,YEAR(Postup!$H$25)=$D$764),Provozování!BH44,IF(YEAR(Postup!$H$25)=$D$764,Provozování!$BL44,0)))</f>
        <v>0</v>
      </c>
      <c r="G799" s="44">
        <v>0</v>
      </c>
      <c r="H799" s="457">
        <f>IF(YEAR(Postup!$H$25)&gt;$D$764,Provozování!BI44,IF(AND(DAY(Postup!$H$25)=31,MONTH(Postup!$H$25)=12,YEAR(Postup!$H$25)=$D$764),Provozování!BI44,IF(YEAR(Postup!$H$25)=$D$764,Provozování!$BM44,0)))</f>
        <v>0</v>
      </c>
      <c r="K799" s="9" t="s">
        <v>46</v>
      </c>
      <c r="L799" s="10" t="s">
        <v>47</v>
      </c>
      <c r="M799" s="11" t="s">
        <v>10</v>
      </c>
      <c r="N799" s="44">
        <v>0</v>
      </c>
      <c r="O799" s="457">
        <f>IF(Provozování!$BJ$16="Neaktivní",0,Provozování!BJ44)</f>
        <v>0</v>
      </c>
      <c r="P799" s="44">
        <v>0</v>
      </c>
      <c r="Q799" s="457">
        <f>IF(Provozování!$BJ$16="Neaktivní",0,Provozování!BK44)</f>
        <v>0</v>
      </c>
      <c r="T799" s="9" t="s">
        <v>46</v>
      </c>
      <c r="U799" s="10" t="s">
        <v>47</v>
      </c>
      <c r="V799" s="11" t="s">
        <v>10</v>
      </c>
      <c r="W799" s="462">
        <v>0</v>
      </c>
      <c r="X799" s="44">
        <f>IF(Provozování!$BJ$16="Neaktivní",F799,O799)</f>
        <v>0</v>
      </c>
      <c r="Y799" s="44">
        <f>W799-X799</f>
        <v>0</v>
      </c>
      <c r="Z799" s="462">
        <v>0</v>
      </c>
      <c r="AA799" s="44">
        <f>IF(Provozování!$BJ$16="Neaktivní",H799,Q799)</f>
        <v>0</v>
      </c>
      <c r="AB799" s="30">
        <f>Z799-AA799</f>
        <v>0</v>
      </c>
      <c r="AC799" s="146"/>
      <c r="AD799" s="146"/>
      <c r="AE799" s="12" t="s">
        <v>333</v>
      </c>
      <c r="AF799" s="12" t="s">
        <v>339</v>
      </c>
      <c r="AG799" s="270">
        <f>W802-(W790+W792)</f>
        <v>0</v>
      </c>
      <c r="AH799" s="270">
        <f>Z802-(Z790+Z792)</f>
        <v>0</v>
      </c>
      <c r="AK799" s="146"/>
      <c r="AL799" s="146"/>
      <c r="AM799" s="146"/>
      <c r="AN799" s="146"/>
    </row>
    <row r="800" spans="2:40" x14ac:dyDescent="0.25">
      <c r="B800" s="9" t="s">
        <v>48</v>
      </c>
      <c r="C800" s="10" t="s">
        <v>49</v>
      </c>
      <c r="D800" s="11" t="s">
        <v>10</v>
      </c>
      <c r="E800" s="44">
        <v>0</v>
      </c>
      <c r="F800" s="457">
        <f>IF(YEAR(Postup!$H$25)&gt;$D$764,Provozování!BH45,IF(AND(DAY(Postup!$H$25)=31,MONTH(Postup!$H$25)=12,YEAR(Postup!$H$25)=$D$764),Provozování!BH45,IF(YEAR(Postup!$H$25)=$D$764,Provozování!$BL45,0)))</f>
        <v>0</v>
      </c>
      <c r="G800" s="44">
        <v>0</v>
      </c>
      <c r="H800" s="457">
        <f>IF(YEAR(Postup!$H$25)&gt;$D$764,Provozování!BI45,IF(AND(DAY(Postup!$H$25)=31,MONTH(Postup!$H$25)=12,YEAR(Postup!$H$25)=$D$764),Provozování!BI45,IF(YEAR(Postup!$H$25)=$D$764,Provozování!$BM45,0)))</f>
        <v>0</v>
      </c>
      <c r="K800" s="9" t="s">
        <v>48</v>
      </c>
      <c r="L800" s="10" t="s">
        <v>49</v>
      </c>
      <c r="M800" s="11" t="s">
        <v>10</v>
      </c>
      <c r="N800" s="44">
        <v>0</v>
      </c>
      <c r="O800" s="457">
        <f>IF(Provozování!$BJ$16="Neaktivní",0,Provozování!BJ45)</f>
        <v>0</v>
      </c>
      <c r="P800" s="44">
        <v>0</v>
      </c>
      <c r="Q800" s="457">
        <f>IF(Provozování!$BJ$16="Neaktivní",0,Provozování!BK45)</f>
        <v>0</v>
      </c>
      <c r="T800" s="9" t="s">
        <v>48</v>
      </c>
      <c r="U800" s="10" t="s">
        <v>49</v>
      </c>
      <c r="V800" s="11" t="s">
        <v>10</v>
      </c>
      <c r="W800" s="462">
        <v>0</v>
      </c>
      <c r="X800" s="44">
        <f>IF(Provozování!$BJ$16="Neaktivní",F800,O800)</f>
        <v>0</v>
      </c>
      <c r="Y800" s="44">
        <f>W800-X800</f>
        <v>0</v>
      </c>
      <c r="Z800" s="462">
        <v>0</v>
      </c>
      <c r="AA800" s="44">
        <f>IF(Provozování!$BJ$16="Neaktivní",H800,Q800)</f>
        <v>0</v>
      </c>
      <c r="AB800" s="30">
        <f>Z800-AA800</f>
        <v>0</v>
      </c>
      <c r="AC800" s="146"/>
      <c r="AD800" s="146"/>
      <c r="AE800" s="12" t="s">
        <v>345</v>
      </c>
      <c r="AF800" s="12" t="s">
        <v>346</v>
      </c>
      <c r="AG800" s="270">
        <f>Provozování!BH$102</f>
        <v>0</v>
      </c>
      <c r="AH800" s="270">
        <f>Provozování!BI$102</f>
        <v>0</v>
      </c>
      <c r="AK800" s="146"/>
      <c r="AL800" s="146"/>
      <c r="AM800" s="146"/>
      <c r="AN800" s="146"/>
    </row>
    <row r="801" spans="2:40" x14ac:dyDescent="0.25">
      <c r="B801" s="12" t="s">
        <v>386</v>
      </c>
      <c r="C801" s="12" t="s">
        <v>385</v>
      </c>
      <c r="D801" s="3" t="s">
        <v>10</v>
      </c>
      <c r="E801" s="44"/>
      <c r="F801" s="456">
        <f>IF(YEAR(Postup!$H$25)&gt;$D$764,Provozování!BH46,IF(AND(DAY(Postup!$H$25)=31,MONTH(Postup!$H$25)=12,YEAR(Postup!$H$25)=$D$764),Provozování!BH46,IF(YEAR(Postup!$H$25)=$D$764,Provozování!$BL46,0)))</f>
        <v>0</v>
      </c>
      <c r="G801" s="44"/>
      <c r="H801" s="457">
        <f>IF(YEAR(Postup!$H$25)&gt;$D$764,Provozování!BJ46,IF(AND(DAY(Postup!$H$25)=31,MONTH(Postup!$H$25)=12,YEAR(Postup!$H$25)=$D$764),Provozování!BJ46,IF(YEAR(Postup!$H$25)=$D$764,Provozování!$BL46,0)))</f>
        <v>0</v>
      </c>
      <c r="K801" s="12" t="s">
        <v>386</v>
      </c>
      <c r="L801" s="12" t="s">
        <v>385</v>
      </c>
      <c r="M801" s="3" t="s">
        <v>10</v>
      </c>
      <c r="N801" s="44"/>
      <c r="O801" s="456">
        <f>IF(Provozování!$BJ$16="Neaktivní",0,Provozování!BJ46)</f>
        <v>0</v>
      </c>
      <c r="P801" s="44"/>
      <c r="Q801" s="457">
        <f>IF(Provozování!$BJ$16="Neaktivní",0,Provozování!BK46)</f>
        <v>0</v>
      </c>
      <c r="T801" s="12" t="s">
        <v>386</v>
      </c>
      <c r="U801" s="12" t="s">
        <v>385</v>
      </c>
      <c r="V801" s="3" t="s">
        <v>10</v>
      </c>
      <c r="W801" s="462">
        <v>0</v>
      </c>
      <c r="X801" s="44">
        <f>IF(Provozování!$BJ$16="Neaktivní",F801,O801)</f>
        <v>0</v>
      </c>
      <c r="Y801" s="44">
        <f>W801-X801</f>
        <v>0</v>
      </c>
      <c r="Z801" s="462">
        <v>0</v>
      </c>
      <c r="AA801" s="44">
        <f>IF(Provozování!$BJ$16="Neaktivní",H801,Q801)</f>
        <v>0</v>
      </c>
      <c r="AB801" s="30">
        <f>Z801-AA801</f>
        <v>0</v>
      </c>
      <c r="AC801" s="146"/>
      <c r="AD801" s="146"/>
      <c r="AE801" s="435" t="s">
        <v>349</v>
      </c>
      <c r="AF801" s="436"/>
      <c r="AG801" s="1066">
        <f>(AG795*AG796-AG795*AG797)+(AG798-AG799)-AG800</f>
        <v>0</v>
      </c>
      <c r="AH801" s="1066">
        <f>(AH795*AH796-AH795*AH797)+(AH798-AH799)-AH800</f>
        <v>0</v>
      </c>
      <c r="AK801" s="146"/>
      <c r="AL801" s="146"/>
      <c r="AM801" s="146"/>
      <c r="AN801" s="146"/>
    </row>
    <row r="802" spans="2:40" x14ac:dyDescent="0.25">
      <c r="B802" s="9" t="s">
        <v>50</v>
      </c>
      <c r="C802" s="10" t="s">
        <v>391</v>
      </c>
      <c r="D802" s="11" t="s">
        <v>10</v>
      </c>
      <c r="E802" s="41">
        <f>E777+E782+E785+E788+E793+E797+E798+E799+E800</f>
        <v>0</v>
      </c>
      <c r="F802" s="41">
        <f>F777+F782+F785+F788+F793+F797+F798+F799+F800</f>
        <v>0</v>
      </c>
      <c r="G802" s="41">
        <f>G777+G782+G785+G788+G793+G797+G798+G799+G800</f>
        <v>0</v>
      </c>
      <c r="H802" s="86">
        <f>H777+H782+H785+H788+H793+H797+H798+H799+H800</f>
        <v>0</v>
      </c>
      <c r="K802" s="9" t="s">
        <v>50</v>
      </c>
      <c r="L802" s="10" t="s">
        <v>391</v>
      </c>
      <c r="M802" s="11" t="s">
        <v>10</v>
      </c>
      <c r="N802" s="41">
        <f>N777+N782+N785+N788+N793+N797+N798+N799+N800</f>
        <v>0</v>
      </c>
      <c r="O802" s="41">
        <f>O777+O782+O785+O788+O793+O797+O798+O799+O800</f>
        <v>0</v>
      </c>
      <c r="P802" s="41">
        <f>P777+P782+P785+P788+P793+P797+P798+P799+P800</f>
        <v>0</v>
      </c>
      <c r="Q802" s="86">
        <f>Q777+Q782+Q785+Q788+Q793+Q797+Q798+Q799+Q800</f>
        <v>0</v>
      </c>
      <c r="T802" s="9" t="s">
        <v>50</v>
      </c>
      <c r="U802" s="10" t="s">
        <v>391</v>
      </c>
      <c r="V802" s="11" t="s">
        <v>10</v>
      </c>
      <c r="W802" s="41">
        <f t="shared" ref="W802:AB802" si="87">W777+W782+W785+W788+W793+W797+W798+W799+W800</f>
        <v>0</v>
      </c>
      <c r="X802" s="41">
        <f t="shared" si="87"/>
        <v>0</v>
      </c>
      <c r="Y802" s="41">
        <f t="shared" si="87"/>
        <v>0</v>
      </c>
      <c r="Z802" s="41">
        <f t="shared" si="87"/>
        <v>0</v>
      </c>
      <c r="AA802" s="41">
        <f t="shared" si="87"/>
        <v>0</v>
      </c>
      <c r="AB802" s="86">
        <f t="shared" si="87"/>
        <v>0</v>
      </c>
      <c r="AC802" s="146"/>
      <c r="AD802" s="146"/>
      <c r="AE802" s="425" t="s">
        <v>347</v>
      </c>
      <c r="AF802" s="424"/>
      <c r="AG802" s="1067"/>
      <c r="AH802" s="1067"/>
      <c r="AK802" s="146"/>
      <c r="AL802" s="146"/>
      <c r="AM802" s="146"/>
      <c r="AN802" s="146"/>
    </row>
    <row r="803" spans="2:40" hidden="1" x14ac:dyDescent="0.25">
      <c r="B803" s="12" t="s">
        <v>389</v>
      </c>
      <c r="C803" s="13" t="s">
        <v>96</v>
      </c>
      <c r="D803" s="3" t="s">
        <v>10</v>
      </c>
      <c r="E803" s="329">
        <v>0</v>
      </c>
      <c r="F803" s="458">
        <f>F727</f>
        <v>0</v>
      </c>
      <c r="G803" s="329">
        <v>0</v>
      </c>
      <c r="H803" s="460">
        <f>H727</f>
        <v>0</v>
      </c>
      <c r="K803" s="12" t="s">
        <v>389</v>
      </c>
      <c r="L803" s="13" t="s">
        <v>96</v>
      </c>
      <c r="M803" s="3" t="s">
        <v>10</v>
      </c>
      <c r="N803" s="329">
        <v>0</v>
      </c>
      <c r="O803" s="329">
        <f>IF(Provozování!$V$16="Neaktivní",0,F803)</f>
        <v>0</v>
      </c>
      <c r="P803" s="329">
        <v>0</v>
      </c>
      <c r="Q803" s="330">
        <f>IF(Provozování!$V$16="Neaktivní",0,H803)</f>
        <v>0</v>
      </c>
      <c r="T803" s="42" t="s">
        <v>389</v>
      </c>
      <c r="U803" s="13" t="s">
        <v>96</v>
      </c>
      <c r="V803" s="3" t="s">
        <v>10</v>
      </c>
      <c r="W803" s="458">
        <v>0</v>
      </c>
      <c r="X803" s="329">
        <f>F803</f>
        <v>0</v>
      </c>
      <c r="Y803" s="329">
        <f>W803-X803</f>
        <v>0</v>
      </c>
      <c r="Z803" s="458">
        <v>0</v>
      </c>
      <c r="AA803" s="329">
        <f>H803</f>
        <v>0</v>
      </c>
      <c r="AB803" s="330">
        <f>Z803-AA803</f>
        <v>0</v>
      </c>
      <c r="AC803" s="146"/>
      <c r="AD803" s="146"/>
      <c r="AK803" s="146"/>
      <c r="AL803" s="146"/>
      <c r="AM803" s="146"/>
      <c r="AN803" s="146"/>
    </row>
    <row r="804" spans="2:40" hidden="1" x14ac:dyDescent="0.25">
      <c r="B804" s="12" t="s">
        <v>389</v>
      </c>
      <c r="C804" s="13" t="s">
        <v>97</v>
      </c>
      <c r="D804" s="3" t="s">
        <v>10</v>
      </c>
      <c r="E804" s="329">
        <v>0</v>
      </c>
      <c r="F804" s="458">
        <f>F728</f>
        <v>0</v>
      </c>
      <c r="G804" s="329">
        <v>0</v>
      </c>
      <c r="H804" s="460">
        <f>H728</f>
        <v>0</v>
      </c>
      <c r="K804" s="12" t="s">
        <v>389</v>
      </c>
      <c r="L804" s="13" t="s">
        <v>97</v>
      </c>
      <c r="M804" s="3" t="s">
        <v>10</v>
      </c>
      <c r="N804" s="329">
        <v>0</v>
      </c>
      <c r="O804" s="329">
        <f>IF(Provozování!$V$16="Neaktivní",0,F804)</f>
        <v>0</v>
      </c>
      <c r="P804" s="329">
        <v>0</v>
      </c>
      <c r="Q804" s="330">
        <f>IF(Provozování!$V$16="Neaktivní",0,H804)</f>
        <v>0</v>
      </c>
      <c r="T804" s="12" t="s">
        <v>389</v>
      </c>
      <c r="U804" s="13" t="s">
        <v>97</v>
      </c>
      <c r="V804" s="3" t="s">
        <v>10</v>
      </c>
      <c r="W804" s="458">
        <v>0</v>
      </c>
      <c r="X804" s="329">
        <f>F804</f>
        <v>0</v>
      </c>
      <c r="Y804" s="329">
        <f>W804-X804</f>
        <v>0</v>
      </c>
      <c r="Z804" s="458">
        <v>0</v>
      </c>
      <c r="AA804" s="329">
        <f>H804</f>
        <v>0</v>
      </c>
      <c r="AB804" s="330">
        <f>Z804-AA804</f>
        <v>0</v>
      </c>
      <c r="AC804" s="146"/>
      <c r="AD804" s="146"/>
      <c r="AK804" s="146"/>
      <c r="AL804" s="146"/>
      <c r="AM804" s="146"/>
      <c r="AN804" s="146"/>
    </row>
    <row r="805" spans="2:40" x14ac:dyDescent="0.25">
      <c r="B805" s="12" t="s">
        <v>51</v>
      </c>
      <c r="C805" s="13" t="s">
        <v>54</v>
      </c>
      <c r="D805" s="3" t="s">
        <v>55</v>
      </c>
      <c r="E805" s="331">
        <v>0</v>
      </c>
      <c r="F805" s="459">
        <f>F729</f>
        <v>0</v>
      </c>
      <c r="G805" s="331">
        <v>0</v>
      </c>
      <c r="H805" s="459">
        <f>H729</f>
        <v>0</v>
      </c>
      <c r="K805" s="12" t="s">
        <v>51</v>
      </c>
      <c r="L805" s="13" t="s">
        <v>54</v>
      </c>
      <c r="M805" s="3" t="s">
        <v>55</v>
      </c>
      <c r="N805" s="331">
        <v>0</v>
      </c>
      <c r="O805" s="331">
        <f>IF(Provozování!$V$16="Neaktivní",0,F805)</f>
        <v>0</v>
      </c>
      <c r="P805" s="331">
        <v>0</v>
      </c>
      <c r="Q805" s="332">
        <f>IF(Provozování!$V$16="Neaktivní",0,H805)</f>
        <v>0</v>
      </c>
      <c r="T805" s="12" t="s">
        <v>51</v>
      </c>
      <c r="U805" s="13" t="s">
        <v>54</v>
      </c>
      <c r="V805" s="3" t="s">
        <v>55</v>
      </c>
      <c r="W805" s="466">
        <v>0</v>
      </c>
      <c r="X805" s="331">
        <f>F805</f>
        <v>0</v>
      </c>
      <c r="Y805" s="332">
        <f>W805-X805</f>
        <v>0</v>
      </c>
      <c r="Z805" s="466">
        <v>0</v>
      </c>
      <c r="AA805" s="331">
        <f>H805</f>
        <v>0</v>
      </c>
      <c r="AB805" s="332">
        <f>Z805-AA805</f>
        <v>0</v>
      </c>
      <c r="AC805" s="146"/>
      <c r="AD805" s="146"/>
      <c r="AE805" s="1068" t="s">
        <v>337</v>
      </c>
      <c r="AF805" s="1069"/>
      <c r="AG805" s="1072" t="str">
        <f>IF(AG801&gt;0,"úspora",IF(AG801&lt;0,"ztráta provozovatele","-"))</f>
        <v>-</v>
      </c>
      <c r="AH805" s="1072" t="str">
        <f>IF(AH801&gt;0,"úspora",IF(AH801&lt;0,"ztráta provozovatele","-"))</f>
        <v>-</v>
      </c>
      <c r="AK805" s="146"/>
      <c r="AL805" s="146"/>
      <c r="AM805" s="146"/>
      <c r="AN805" s="146"/>
    </row>
    <row r="806" spans="2:40" x14ac:dyDescent="0.25">
      <c r="B806" s="12" t="s">
        <v>52</v>
      </c>
      <c r="C806" s="13" t="s">
        <v>57</v>
      </c>
      <c r="D806" s="3" t="s">
        <v>58</v>
      </c>
      <c r="E806" s="44">
        <v>0</v>
      </c>
      <c r="F806" s="44">
        <f>IF(YEAR(Postup!$H$25)&gt;$D$764,Provozování!BH49,IF(AND(DAY(Postup!$H$25)=31,MONTH(Postup!$H$25)=12,YEAR(Postup!$H$25)=$D$764),Provozování!BH49,IF(YEAR(Postup!$H$25)=$D$764,Provozování!$BL49,0)))</f>
        <v>0</v>
      </c>
      <c r="G806" s="44">
        <v>0</v>
      </c>
      <c r="H806" s="334">
        <v>0</v>
      </c>
      <c r="K806" s="12" t="s">
        <v>52</v>
      </c>
      <c r="L806" s="13" t="s">
        <v>57</v>
      </c>
      <c r="M806" s="3" t="s">
        <v>58</v>
      </c>
      <c r="N806" s="44">
        <v>0</v>
      </c>
      <c r="O806" s="44">
        <f>IF(Provozování!$BJ$16="Neaktivní",0,Provozování!BJ49)</f>
        <v>0</v>
      </c>
      <c r="P806" s="44">
        <v>0</v>
      </c>
      <c r="Q806" s="334">
        <v>0</v>
      </c>
      <c r="T806" s="12" t="s">
        <v>52</v>
      </c>
      <c r="U806" s="13" t="s">
        <v>57</v>
      </c>
      <c r="V806" s="3" t="s">
        <v>58</v>
      </c>
      <c r="W806" s="462">
        <v>0</v>
      </c>
      <c r="X806" s="44">
        <f>IF(Provozování!$BJ$16="Neaktivní",F806,O806)</f>
        <v>0</v>
      </c>
      <c r="Y806" s="44">
        <f>W806-X806</f>
        <v>0</v>
      </c>
      <c r="Z806" s="337">
        <v>0</v>
      </c>
      <c r="AA806" s="337">
        <v>0</v>
      </c>
      <c r="AB806" s="334">
        <v>0</v>
      </c>
      <c r="AC806" s="146"/>
      <c r="AD806" s="146"/>
      <c r="AE806" s="1070"/>
      <c r="AF806" s="1071"/>
      <c r="AG806" s="1000"/>
      <c r="AH806" s="1000"/>
      <c r="AK806" s="146"/>
      <c r="AL806" s="146"/>
      <c r="AM806" s="146"/>
      <c r="AN806" s="146"/>
    </row>
    <row r="807" spans="2:40" x14ac:dyDescent="0.25">
      <c r="B807" s="12" t="s">
        <v>53</v>
      </c>
      <c r="C807" s="13" t="s">
        <v>60</v>
      </c>
      <c r="D807" s="3" t="s">
        <v>58</v>
      </c>
      <c r="E807" s="44">
        <v>0</v>
      </c>
      <c r="F807" s="44">
        <f>IF(YEAR(Postup!$H$25)&gt;$D$764,Provozování!BH50,IF(AND(DAY(Postup!$H$25)=31,MONTH(Postup!$H$25)=12,YEAR(Postup!$H$25)=$D$764),Provozování!BH50,IF(YEAR(Postup!$H$25)=$D$764,Provozování!$BL50,0)))</f>
        <v>0</v>
      </c>
      <c r="G807" s="44">
        <v>0</v>
      </c>
      <c r="H807" s="334">
        <v>0</v>
      </c>
      <c r="K807" s="12" t="s">
        <v>53</v>
      </c>
      <c r="L807" s="13" t="s">
        <v>60</v>
      </c>
      <c r="M807" s="3" t="s">
        <v>58</v>
      </c>
      <c r="N807" s="44">
        <v>0</v>
      </c>
      <c r="O807" s="44">
        <f>IF(Provozování!$BJ$16="Neaktivní",0,Provozování!BJ50)</f>
        <v>0</v>
      </c>
      <c r="P807" s="44">
        <v>0</v>
      </c>
      <c r="Q807" s="334">
        <v>0</v>
      </c>
      <c r="T807" s="12" t="s">
        <v>53</v>
      </c>
      <c r="U807" s="13" t="s">
        <v>60</v>
      </c>
      <c r="V807" s="3" t="s">
        <v>58</v>
      </c>
      <c r="W807" s="462">
        <v>0</v>
      </c>
      <c r="X807" s="44">
        <f>IF(Provozování!$BJ$16="Neaktivní",F807,O807)</f>
        <v>0</v>
      </c>
      <c r="Y807" s="44">
        <f>W807-X807</f>
        <v>0</v>
      </c>
      <c r="Z807" s="337">
        <v>0</v>
      </c>
      <c r="AA807" s="337">
        <v>0</v>
      </c>
      <c r="AB807" s="334">
        <v>0</v>
      </c>
      <c r="AC807" s="146"/>
      <c r="AD807" s="146"/>
      <c r="AE807" s="414" t="s">
        <v>343</v>
      </c>
      <c r="AF807" s="414"/>
      <c r="AG807" s="344">
        <f>IF(AG801&gt;0,AG801/AG798,0)</f>
        <v>0</v>
      </c>
      <c r="AH807" s="344">
        <f>IF(AH801&gt;0,AH801/AH798,0)</f>
        <v>0</v>
      </c>
      <c r="AK807" s="146"/>
      <c r="AL807" s="146"/>
      <c r="AM807" s="146"/>
      <c r="AN807" s="146"/>
    </row>
    <row r="808" spans="2:40" x14ac:dyDescent="0.25">
      <c r="B808" s="12" t="s">
        <v>56</v>
      </c>
      <c r="C808" s="13" t="s">
        <v>62</v>
      </c>
      <c r="D808" s="3" t="s">
        <v>58</v>
      </c>
      <c r="E808" s="44">
        <v>0</v>
      </c>
      <c r="F808" s="337">
        <v>0</v>
      </c>
      <c r="G808" s="44">
        <v>0</v>
      </c>
      <c r="H808" s="30">
        <f>IF(YEAR(Postup!$H$25)&gt;$D$764,Provozování!BI51,IF(AND(DAY(Postup!$H$25)=31,MONTH(Postup!$H$25)=12,YEAR(Postup!$H$25)=$D$764),Provozování!BI51,IF(YEAR(Postup!$H$25)=$D$764,Provozování!$BM51,0)))</f>
        <v>0</v>
      </c>
      <c r="K808" s="12" t="s">
        <v>56</v>
      </c>
      <c r="L808" s="13" t="s">
        <v>62</v>
      </c>
      <c r="M808" s="3" t="s">
        <v>58</v>
      </c>
      <c r="N808" s="44">
        <v>0</v>
      </c>
      <c r="O808" s="337">
        <v>0</v>
      </c>
      <c r="P808" s="44">
        <v>0</v>
      </c>
      <c r="Q808" s="53">
        <f>IF(Provozování!$BJ$16="Neaktivní",0,Provozování!BK51)</f>
        <v>0</v>
      </c>
      <c r="T808" s="12" t="s">
        <v>56</v>
      </c>
      <c r="U808" s="13" t="s">
        <v>62</v>
      </c>
      <c r="V808" s="3" t="s">
        <v>58</v>
      </c>
      <c r="W808" s="337">
        <v>0</v>
      </c>
      <c r="X808" s="337">
        <v>0</v>
      </c>
      <c r="Y808" s="337">
        <v>0</v>
      </c>
      <c r="Z808" s="462">
        <v>0</v>
      </c>
      <c r="AA808" s="44">
        <f>IF(Provozování!$BJ$16="Neaktivní",H808,Q808)</f>
        <v>0</v>
      </c>
      <c r="AB808" s="30">
        <f t="shared" ref="AB808:AB813" si="88">Z808-AA808</f>
        <v>0</v>
      </c>
      <c r="AC808" s="146"/>
      <c r="AD808" s="146"/>
      <c r="AE808" s="437" t="s">
        <v>323</v>
      </c>
      <c r="AF808" s="437"/>
      <c r="AG808" s="711"/>
      <c r="AH808" s="711"/>
      <c r="AK808" s="146"/>
      <c r="AL808" s="146"/>
      <c r="AM808" s="146"/>
      <c r="AN808" s="146"/>
    </row>
    <row r="809" spans="2:40" x14ac:dyDescent="0.25">
      <c r="B809" s="12" t="s">
        <v>59</v>
      </c>
      <c r="C809" s="13" t="s">
        <v>60</v>
      </c>
      <c r="D809" s="3" t="s">
        <v>58</v>
      </c>
      <c r="E809" s="44">
        <v>0</v>
      </c>
      <c r="F809" s="337">
        <v>0</v>
      </c>
      <c r="G809" s="44">
        <v>0</v>
      </c>
      <c r="H809" s="30">
        <f>IF(YEAR(Postup!$H$25)&gt;$D$764,Provozování!BI52,IF(AND(DAY(Postup!$H$25)=31,MONTH(Postup!$H$25)=12,YEAR(Postup!$H$25)=$D$764),Provozování!BI52,IF(YEAR(Postup!$H$25)=$D$764,Provozování!$BM52,0)))</f>
        <v>0</v>
      </c>
      <c r="K809" s="12" t="s">
        <v>59</v>
      </c>
      <c r="L809" s="13" t="s">
        <v>60</v>
      </c>
      <c r="M809" s="3" t="s">
        <v>58</v>
      </c>
      <c r="N809" s="44">
        <v>0</v>
      </c>
      <c r="O809" s="337">
        <v>0</v>
      </c>
      <c r="P809" s="44">
        <v>0</v>
      </c>
      <c r="Q809" s="53">
        <f>IF(Provozování!$BJ$16="Neaktivní",0,Provozování!BK52)</f>
        <v>0</v>
      </c>
      <c r="T809" s="12" t="s">
        <v>59</v>
      </c>
      <c r="U809" s="13" t="s">
        <v>60</v>
      </c>
      <c r="V809" s="3" t="s">
        <v>58</v>
      </c>
      <c r="W809" s="337">
        <v>0</v>
      </c>
      <c r="X809" s="337">
        <v>0</v>
      </c>
      <c r="Y809" s="337">
        <v>0</v>
      </c>
      <c r="Z809" s="462">
        <v>0</v>
      </c>
      <c r="AA809" s="44">
        <f>IF(Provozování!$BJ$16="Neaktivní",H809,Q809)</f>
        <v>0</v>
      </c>
      <c r="AB809" s="30">
        <f t="shared" si="88"/>
        <v>0</v>
      </c>
      <c r="AC809" s="146"/>
      <c r="AD809" s="146"/>
      <c r="AE809" s="438" t="s">
        <v>334</v>
      </c>
      <c r="AF809" s="438"/>
      <c r="AG809" s="713">
        <f>IF(AG807&gt;0,AG798*AI809*0.5,0)</f>
        <v>0</v>
      </c>
      <c r="AH809" s="713">
        <f>IF(AH807&gt;0,AH798*AJ809*0.5,0)</f>
        <v>0</v>
      </c>
      <c r="AI809" s="345">
        <f>IF(AG807&gt;0.05,0.05,AG807)</f>
        <v>0</v>
      </c>
      <c r="AJ809" s="345">
        <f>IF(AH807&gt;0.05,0.05,AH807)</f>
        <v>0</v>
      </c>
      <c r="AK809" s="146"/>
      <c r="AL809" s="146"/>
      <c r="AM809" s="146"/>
      <c r="AN809" s="146"/>
    </row>
    <row r="810" spans="2:40" x14ac:dyDescent="0.25">
      <c r="B810" s="12" t="s">
        <v>61</v>
      </c>
      <c r="C810" s="13" t="s">
        <v>65</v>
      </c>
      <c r="D810" s="3" t="s">
        <v>58</v>
      </c>
      <c r="E810" s="44">
        <v>0</v>
      </c>
      <c r="F810" s="337">
        <v>0</v>
      </c>
      <c r="G810" s="44">
        <v>0</v>
      </c>
      <c r="H810" s="30">
        <f>IF(YEAR(Postup!$H$25)&gt;$D$764,Provozování!BI53,IF(AND(DAY(Postup!$H$25)=31,MONTH(Postup!$H$25)=12,YEAR(Postup!$H$25)=$D$764),Provozování!BI53,IF(YEAR(Postup!$H$25)=$D$764,Provozování!$BM53,0)))</f>
        <v>0</v>
      </c>
      <c r="K810" s="12" t="s">
        <v>61</v>
      </c>
      <c r="L810" s="13" t="s">
        <v>65</v>
      </c>
      <c r="M810" s="3" t="s">
        <v>58</v>
      </c>
      <c r="N810" s="44">
        <v>0</v>
      </c>
      <c r="O810" s="337">
        <v>0</v>
      </c>
      <c r="P810" s="44">
        <v>0</v>
      </c>
      <c r="Q810" s="53">
        <f>IF(Provozování!$BJ$16="Neaktivní",0,Provozování!BK53)</f>
        <v>0</v>
      </c>
      <c r="T810" s="12" t="s">
        <v>61</v>
      </c>
      <c r="U810" s="13" t="s">
        <v>65</v>
      </c>
      <c r="V810" s="3" t="s">
        <v>58</v>
      </c>
      <c r="W810" s="337">
        <v>0</v>
      </c>
      <c r="X810" s="337">
        <v>0</v>
      </c>
      <c r="Y810" s="337">
        <v>0</v>
      </c>
      <c r="Z810" s="462">
        <v>0</v>
      </c>
      <c r="AA810" s="44">
        <f>IF(Provozování!$BJ$16="Neaktivní",H810,Q810)</f>
        <v>0</v>
      </c>
      <c r="AB810" s="30">
        <f t="shared" si="88"/>
        <v>0</v>
      </c>
      <c r="AC810" s="146"/>
      <c r="AD810" s="146"/>
      <c r="AE810" s="415" t="s">
        <v>335</v>
      </c>
      <c r="AF810" s="415"/>
      <c r="AG810" s="270">
        <f>IF(AI810&gt;0,AG798*(AI810-0.05)*0.8,0)</f>
        <v>0</v>
      </c>
      <c r="AH810" s="270">
        <f>IF(AJ810&gt;0,AH798*(AJ810-0.05)*0.8,0)</f>
        <v>0</v>
      </c>
      <c r="AI810" s="345">
        <f>IF(AND(AG807&gt;0.05,AG807&lt;=0.1),AG807,IF(AG807&lt;=0.05,0,0.1))</f>
        <v>0</v>
      </c>
      <c r="AJ810" s="345">
        <f>IF(AND(AH807&gt;0.05,AH807&lt;=0.1),AH807,IF(AH807&lt;=0.05,0,0.1))</f>
        <v>0</v>
      </c>
      <c r="AK810" s="146"/>
      <c r="AL810" s="146"/>
      <c r="AM810" s="146"/>
      <c r="AN810" s="146"/>
    </row>
    <row r="811" spans="2:40" x14ac:dyDescent="0.25">
      <c r="B811" s="12" t="s">
        <v>63</v>
      </c>
      <c r="C811" s="13" t="s">
        <v>67</v>
      </c>
      <c r="D811" s="3" t="s">
        <v>58</v>
      </c>
      <c r="E811" s="44">
        <v>0</v>
      </c>
      <c r="F811" s="337">
        <v>0</v>
      </c>
      <c r="G811" s="44">
        <v>0</v>
      </c>
      <c r="H811" s="30">
        <f>IF(YEAR(Postup!$H$25)&gt;$D$764,Provozování!BI54,IF(AND(DAY(Postup!$H$25)=31,MONTH(Postup!$H$25)=12,YEAR(Postup!$H$25)=$D$764),Provozování!BI54,IF(YEAR(Postup!$H$25)=$D$764,Provozování!$BM54,0)))</f>
        <v>0</v>
      </c>
      <c r="K811" s="12" t="s">
        <v>63</v>
      </c>
      <c r="L811" s="13" t="s">
        <v>67</v>
      </c>
      <c r="M811" s="3" t="s">
        <v>58</v>
      </c>
      <c r="N811" s="44">
        <v>0</v>
      </c>
      <c r="O811" s="337">
        <v>0</v>
      </c>
      <c r="P811" s="44">
        <v>0</v>
      </c>
      <c r="Q811" s="53">
        <f>IF(Provozování!$BJ$16="Neaktivní",0,Provozování!BK54)</f>
        <v>0</v>
      </c>
      <c r="T811" s="12" t="s">
        <v>63</v>
      </c>
      <c r="U811" s="13" t="s">
        <v>67</v>
      </c>
      <c r="V811" s="3" t="s">
        <v>58</v>
      </c>
      <c r="W811" s="337">
        <v>0</v>
      </c>
      <c r="X811" s="337">
        <v>0</v>
      </c>
      <c r="Y811" s="337">
        <v>0</v>
      </c>
      <c r="Z811" s="462">
        <v>0</v>
      </c>
      <c r="AA811" s="44">
        <f>IF(Provozování!$BJ$16="Neaktivní",H811,Q811)</f>
        <v>0</v>
      </c>
      <c r="AB811" s="30">
        <f t="shared" si="88"/>
        <v>0</v>
      </c>
      <c r="AC811" s="146"/>
      <c r="AD811" s="146"/>
      <c r="AE811" s="415" t="s">
        <v>336</v>
      </c>
      <c r="AF811" s="415"/>
      <c r="AG811" s="270">
        <f>IF(AI811&gt;0,AG798*(AI811-0.1)*1,0)</f>
        <v>0</v>
      </c>
      <c r="AH811" s="270">
        <f>IF(AJ811&gt;0,AH798*(AJ811-0.1)*1,0)</f>
        <v>0</v>
      </c>
      <c r="AI811" s="345">
        <f>IF(AG807&gt;0.1,AG807,0)</f>
        <v>0</v>
      </c>
      <c r="AJ811" s="345">
        <f>IF(AH807&gt;0.1,AH807,0)</f>
        <v>0</v>
      </c>
      <c r="AK811" s="146"/>
      <c r="AL811" s="146"/>
      <c r="AM811" s="146"/>
      <c r="AN811" s="146"/>
    </row>
    <row r="812" spans="2:40" x14ac:dyDescent="0.25">
      <c r="B812" s="12" t="s">
        <v>64</v>
      </c>
      <c r="C812" s="13" t="s">
        <v>68</v>
      </c>
      <c r="D812" s="3" t="s">
        <v>58</v>
      </c>
      <c r="E812" s="44">
        <v>0</v>
      </c>
      <c r="F812" s="44">
        <f>IF(YEAR(Postup!$H$25)&gt;$D$764,Provozování!BH55,IF(AND(DAY(Postup!$H$25)=31,MONTH(Postup!$H$25)=12,YEAR(Postup!$H$25)=$D$764),Provozování!BH55,IF(YEAR(Postup!$H$25)=$D$764,Provozování!$BL55,0)))</f>
        <v>0</v>
      </c>
      <c r="G812" s="44">
        <v>0</v>
      </c>
      <c r="H812" s="30">
        <f>IF(YEAR(Postup!$H$25)&gt;$D$764,Provozování!BI55,IF(AND(DAY(Postup!$H$25)=31,MONTH(Postup!$H$25)=12,YEAR(Postup!$H$25)=$D$764),Provozování!BI55,IF(YEAR(Postup!$H$25)=$D$764,Provozování!$BM55,0)))</f>
        <v>0</v>
      </c>
      <c r="K812" s="12" t="s">
        <v>64</v>
      </c>
      <c r="L812" s="13" t="s">
        <v>68</v>
      </c>
      <c r="M812" s="3" t="s">
        <v>58</v>
      </c>
      <c r="N812" s="44">
        <v>0</v>
      </c>
      <c r="O812" s="44">
        <f>IF(Provozování!$BJ$16="Neaktivní",0,Provozování!BJ55)</f>
        <v>0</v>
      </c>
      <c r="P812" s="44">
        <v>0</v>
      </c>
      <c r="Q812" s="53">
        <f>IF(Provozování!$BJ$16="Neaktivní",0,Provozování!BK55)</f>
        <v>0</v>
      </c>
      <c r="T812" s="12" t="s">
        <v>64</v>
      </c>
      <c r="U812" s="13" t="s">
        <v>68</v>
      </c>
      <c r="V812" s="3" t="s">
        <v>58</v>
      </c>
      <c r="W812" s="462">
        <v>0</v>
      </c>
      <c r="X812" s="44">
        <f>IF(Provozování!$BJ$16="Neaktivní",F812,O812)</f>
        <v>0</v>
      </c>
      <c r="Y812" s="44">
        <f>W812-X812</f>
        <v>0</v>
      </c>
      <c r="Z812" s="462">
        <v>0</v>
      </c>
      <c r="AA812" s="44">
        <f>IF(Provozování!$BJ$16="Neaktivní",H812,Q812)</f>
        <v>0</v>
      </c>
      <c r="AB812" s="30">
        <f t="shared" si="88"/>
        <v>0</v>
      </c>
      <c r="AC812" s="146"/>
      <c r="AD812" s="146"/>
      <c r="AE812" s="413" t="s">
        <v>324</v>
      </c>
      <c r="AF812" s="413"/>
      <c r="AG812" s="346">
        <f>SUM(AG809:AG811)</f>
        <v>0</v>
      </c>
      <c r="AH812" s="346">
        <f>SUM(AH809:AH811)</f>
        <v>0</v>
      </c>
      <c r="AK812" s="146"/>
      <c r="AL812" s="146"/>
      <c r="AM812" s="146"/>
      <c r="AN812" s="146"/>
    </row>
    <row r="813" spans="2:40" x14ac:dyDescent="0.25">
      <c r="B813" s="12" t="s">
        <v>66</v>
      </c>
      <c r="C813" s="13" t="s">
        <v>69</v>
      </c>
      <c r="D813" s="3" t="s">
        <v>58</v>
      </c>
      <c r="E813" s="44">
        <v>0</v>
      </c>
      <c r="F813" s="44">
        <f>IF(YEAR(Postup!$H$25)&gt;$D$764,Provozování!BH56,IF(AND(DAY(Postup!$H$25)=31,MONTH(Postup!$H$25)=12,YEAR(Postup!$H$25)=$D$764),Provozování!BH56,IF(YEAR(Postup!$H$25)=$D$764,Provozování!$BL56,0)))</f>
        <v>0</v>
      </c>
      <c r="G813" s="44">
        <v>0</v>
      </c>
      <c r="H813" s="30">
        <f>IF(YEAR(Postup!$H$25)&gt;$D$764,Provozování!BI56,IF(AND(DAY(Postup!$H$25)=31,MONTH(Postup!$H$25)=12,YEAR(Postup!$H$25)=$D$764),Provozování!BI56,IF(YEAR(Postup!$H$25)=$D$764,Provozování!$BM56,0)))</f>
        <v>0</v>
      </c>
      <c r="K813" s="12" t="s">
        <v>66</v>
      </c>
      <c r="L813" s="13" t="s">
        <v>69</v>
      </c>
      <c r="M813" s="3" t="s">
        <v>58</v>
      </c>
      <c r="N813" s="44">
        <v>0</v>
      </c>
      <c r="O813" s="44">
        <f>IF(Provozování!$BJ$16="Neaktivní",0,Provozování!BJ56)</f>
        <v>0</v>
      </c>
      <c r="P813" s="44">
        <v>0</v>
      </c>
      <c r="Q813" s="30">
        <f>IF(Provozování!$BJ$16="Neaktivní",0,Provozování!BK56)</f>
        <v>0</v>
      </c>
      <c r="T813" s="12" t="s">
        <v>66</v>
      </c>
      <c r="U813" s="13" t="s">
        <v>69</v>
      </c>
      <c r="V813" s="3" t="s">
        <v>58</v>
      </c>
      <c r="W813" s="462">
        <v>0</v>
      </c>
      <c r="X813" s="44">
        <f>IF(Provozování!$BJ$16="Neaktivní",F813,O813)</f>
        <v>0</v>
      </c>
      <c r="Y813" s="44">
        <f>W813-X813</f>
        <v>0</v>
      </c>
      <c r="Z813" s="462">
        <v>0</v>
      </c>
      <c r="AA813" s="44">
        <f>IF(Provozování!$BJ$16="Neaktivní",H813,Q813)</f>
        <v>0</v>
      </c>
      <c r="AB813" s="30">
        <f t="shared" si="88"/>
        <v>0</v>
      </c>
      <c r="AC813" s="146"/>
      <c r="AD813" s="146"/>
      <c r="AE813" s="146"/>
      <c r="AF813" s="146"/>
      <c r="AG813" s="146"/>
      <c r="AH813" s="146"/>
      <c r="AI813" s="146"/>
      <c r="AJ813" s="146"/>
      <c r="AK813" s="146"/>
      <c r="AL813" s="146"/>
      <c r="AM813" s="146"/>
      <c r="AN813" s="146"/>
    </row>
    <row r="814" spans="2:40" x14ac:dyDescent="0.25">
      <c r="B814" s="1"/>
      <c r="C814" s="1"/>
      <c r="D814" s="1"/>
      <c r="E814" s="1"/>
      <c r="F814" s="347"/>
      <c r="G814" s="1"/>
      <c r="H814" s="347"/>
      <c r="K814" s="1"/>
      <c r="L814" s="1"/>
      <c r="M814" s="1"/>
      <c r="N814" s="1"/>
      <c r="O814" s="1"/>
      <c r="P814" s="1"/>
      <c r="Q814" s="1"/>
      <c r="T814" s="1"/>
      <c r="U814" s="1"/>
      <c r="V814" s="1"/>
      <c r="W814" s="1"/>
      <c r="X814" s="1"/>
      <c r="Y814" s="1"/>
      <c r="Z814" s="1"/>
      <c r="AA814" s="1"/>
      <c r="AB814" s="1"/>
      <c r="AC814" s="146"/>
      <c r="AD814" s="146"/>
      <c r="AE814" s="146"/>
      <c r="AF814" s="146"/>
      <c r="AG814" s="146"/>
      <c r="AH814" s="146"/>
      <c r="AI814" s="146"/>
      <c r="AJ814" s="146"/>
      <c r="AK814" s="146"/>
      <c r="AL814" s="146"/>
      <c r="AM814" s="146"/>
      <c r="AN814" s="146"/>
    </row>
    <row r="815" spans="2:40" x14ac:dyDescent="0.25">
      <c r="B815" s="1052" t="s">
        <v>5</v>
      </c>
      <c r="C815" s="884" t="s">
        <v>70</v>
      </c>
      <c r="D815" s="868"/>
      <c r="E815" s="1082"/>
      <c r="F815" s="1083"/>
      <c r="G815" s="868"/>
      <c r="H815" s="869"/>
      <c r="K815" s="1052" t="s">
        <v>5</v>
      </c>
      <c r="L815" s="884" t="s">
        <v>70</v>
      </c>
      <c r="M815" s="868"/>
      <c r="N815" s="1082"/>
      <c r="O815" s="1083"/>
      <c r="P815" s="868"/>
      <c r="Q815" s="869"/>
      <c r="T815" s="1098" t="s">
        <v>5</v>
      </c>
      <c r="U815" s="884" t="s">
        <v>70</v>
      </c>
      <c r="V815" s="868"/>
      <c r="W815" s="1082"/>
      <c r="X815" s="1082"/>
      <c r="Y815" s="1083"/>
      <c r="Z815" s="868"/>
      <c r="AA815" s="868"/>
      <c r="AB815" s="869"/>
      <c r="AC815" s="146"/>
      <c r="AD815" s="146"/>
      <c r="AE815" s="146"/>
      <c r="AF815" s="146"/>
      <c r="AG815" s="146"/>
      <c r="AH815" s="146"/>
      <c r="AI815" s="146"/>
      <c r="AJ815" s="146"/>
      <c r="AK815" s="146"/>
      <c r="AL815" s="146"/>
      <c r="AM815" s="146"/>
      <c r="AN815" s="146"/>
    </row>
    <row r="816" spans="2:40" x14ac:dyDescent="0.25">
      <c r="B816" s="1053"/>
      <c r="C816" s="1052" t="s">
        <v>71</v>
      </c>
      <c r="D816" s="1065" t="s">
        <v>133</v>
      </c>
      <c r="E816" s="1085" t="s">
        <v>102</v>
      </c>
      <c r="F816" s="1086"/>
      <c r="G816" s="85" t="s">
        <v>3</v>
      </c>
      <c r="H816" s="23" t="s">
        <v>4</v>
      </c>
      <c r="K816" s="1053"/>
      <c r="L816" s="5" t="s">
        <v>71</v>
      </c>
      <c r="M816" s="1065" t="s">
        <v>133</v>
      </c>
      <c r="N816" s="1085" t="s">
        <v>102</v>
      </c>
      <c r="O816" s="1086"/>
      <c r="P816" s="85" t="s">
        <v>3</v>
      </c>
      <c r="Q816" s="23" t="s">
        <v>4</v>
      </c>
      <c r="T816" s="1099"/>
      <c r="U816" s="1052" t="s">
        <v>71</v>
      </c>
      <c r="V816" s="1065" t="s">
        <v>133</v>
      </c>
      <c r="W816" s="1085" t="s">
        <v>102</v>
      </c>
      <c r="X816" s="1086"/>
      <c r="Y816" s="1085" t="s">
        <v>3</v>
      </c>
      <c r="Z816" s="1101"/>
      <c r="AA816" s="1102" t="s">
        <v>4</v>
      </c>
      <c r="AB816" s="1102"/>
      <c r="AC816" s="146"/>
      <c r="AD816" s="146"/>
      <c r="AE816" s="146"/>
      <c r="AF816" s="146"/>
      <c r="AG816" s="146"/>
      <c r="AH816" s="146"/>
      <c r="AI816" s="146"/>
      <c r="AJ816" s="146"/>
      <c r="AK816" s="146"/>
      <c r="AL816" s="146"/>
      <c r="AM816" s="146"/>
      <c r="AN816" s="146"/>
    </row>
    <row r="817" spans="2:40" x14ac:dyDescent="0.25">
      <c r="B817" s="1054"/>
      <c r="C817" s="1054"/>
      <c r="D817" s="1084"/>
      <c r="E817" s="1087"/>
      <c r="F817" s="1088"/>
      <c r="G817" s="26" t="s">
        <v>7</v>
      </c>
      <c r="H817" s="24" t="s">
        <v>7</v>
      </c>
      <c r="K817" s="1054"/>
      <c r="L817" s="8"/>
      <c r="M817" s="1084"/>
      <c r="N817" s="1087"/>
      <c r="O817" s="1088"/>
      <c r="P817" s="26" t="s">
        <v>7</v>
      </c>
      <c r="Q817" s="24" t="s">
        <v>7</v>
      </c>
      <c r="T817" s="1100"/>
      <c r="U817" s="1054"/>
      <c r="V817" s="1084"/>
      <c r="W817" s="1087"/>
      <c r="X817" s="1088"/>
      <c r="Y817" s="37" t="s">
        <v>148</v>
      </c>
      <c r="Z817" s="37" t="s">
        <v>7</v>
      </c>
      <c r="AA817" s="37" t="s">
        <v>148</v>
      </c>
      <c r="AB817" s="37" t="s">
        <v>7</v>
      </c>
      <c r="AC817" s="146"/>
      <c r="AD817" s="146"/>
      <c r="AE817" s="146"/>
      <c r="AF817" s="146"/>
      <c r="AG817" s="146"/>
      <c r="AH817" s="146"/>
      <c r="AI817" s="146"/>
      <c r="AJ817" s="146"/>
      <c r="AK817" s="146"/>
      <c r="AL817" s="146"/>
      <c r="AM817" s="146"/>
      <c r="AN817" s="146"/>
    </row>
    <row r="818" spans="2:40" x14ac:dyDescent="0.25">
      <c r="B818" s="11">
        <v>1</v>
      </c>
      <c r="C818" s="11">
        <v>2</v>
      </c>
      <c r="D818" s="11" t="s">
        <v>95</v>
      </c>
      <c r="E818" s="873" t="s">
        <v>99</v>
      </c>
      <c r="F818" s="874"/>
      <c r="G818" s="11" t="s">
        <v>100</v>
      </c>
      <c r="H818" s="22" t="s">
        <v>101</v>
      </c>
      <c r="K818" s="11">
        <v>1</v>
      </c>
      <c r="L818" s="11">
        <v>2</v>
      </c>
      <c r="M818" s="11" t="s">
        <v>95</v>
      </c>
      <c r="N818" s="873" t="s">
        <v>99</v>
      </c>
      <c r="O818" s="874"/>
      <c r="P818" s="11" t="s">
        <v>100</v>
      </c>
      <c r="Q818" s="22" t="s">
        <v>101</v>
      </c>
      <c r="T818" s="11">
        <v>1</v>
      </c>
      <c r="U818" s="11">
        <v>2</v>
      </c>
      <c r="V818" s="11" t="s">
        <v>95</v>
      </c>
      <c r="W818" s="1096" t="s">
        <v>99</v>
      </c>
      <c r="X818" s="1097"/>
      <c r="Y818" s="11" t="s">
        <v>153</v>
      </c>
      <c r="Z818" s="11" t="s">
        <v>100</v>
      </c>
      <c r="AA818" s="11" t="s">
        <v>152</v>
      </c>
      <c r="AB818" s="22" t="s">
        <v>101</v>
      </c>
      <c r="AC818" s="146"/>
      <c r="AD818" s="146"/>
      <c r="AE818" s="146"/>
      <c r="AF818" s="146"/>
      <c r="AG818" s="146"/>
      <c r="AH818" s="146"/>
      <c r="AI818" s="146"/>
      <c r="AJ818" s="146"/>
      <c r="AK818" s="146"/>
      <c r="AL818" s="146"/>
      <c r="AM818" s="146"/>
      <c r="AN818" s="146"/>
    </row>
    <row r="819" spans="2:40" ht="14.45" customHeight="1" x14ac:dyDescent="0.25">
      <c r="B819" s="12" t="s">
        <v>72</v>
      </c>
      <c r="C819" s="13" t="s">
        <v>104</v>
      </c>
      <c r="D819" s="13" t="s">
        <v>73</v>
      </c>
      <c r="E819" s="875" t="s">
        <v>403</v>
      </c>
      <c r="F819" s="1048"/>
      <c r="G819" s="137">
        <f>IF(F806=0,IF(F812&lt;&gt;0,F802/F812,0),F802/F806)</f>
        <v>0</v>
      </c>
      <c r="H819" s="138">
        <f>IF((H808+H810)=0,IF(H813&lt;&gt;0,H802/H813,0),H802/(H808+H810))</f>
        <v>0</v>
      </c>
      <c r="K819" s="12" t="s">
        <v>72</v>
      </c>
      <c r="L819" s="13" t="s">
        <v>104</v>
      </c>
      <c r="M819" s="13" t="s">
        <v>73</v>
      </c>
      <c r="N819" s="875" t="s">
        <v>403</v>
      </c>
      <c r="O819" s="1048"/>
      <c r="P819" s="137">
        <f>IF(O806=0,IF(O812&lt;&gt;0,O802/O812,0),O802/O806)</f>
        <v>0</v>
      </c>
      <c r="Q819" s="138">
        <f>IF((Q808+Q810)=0,IF(Q813&lt;&gt;0,Q802/Q813,0),Q802/(Q808+Q810))</f>
        <v>0</v>
      </c>
      <c r="T819" s="12" t="s">
        <v>72</v>
      </c>
      <c r="U819" s="13" t="s">
        <v>104</v>
      </c>
      <c r="V819" s="13" t="s">
        <v>73</v>
      </c>
      <c r="W819" s="875" t="s">
        <v>403</v>
      </c>
      <c r="X819" s="1048"/>
      <c r="Y819" s="137">
        <f>IF(W806=0,IF(W812&lt;&gt;0,W802/W812,0),W802/W806)</f>
        <v>0</v>
      </c>
      <c r="Z819" s="137">
        <f>IF(X806=0,IF(X812&lt;&gt;0,X802/X812,0),X802/X806)</f>
        <v>0</v>
      </c>
      <c r="AA819" s="137">
        <f>IF((Z808+Z810)=0,IF(Z813&lt;&gt;0,Z802/Z813,0),Z802/(Z808+Z810))</f>
        <v>0</v>
      </c>
      <c r="AB819" s="138">
        <f>IF((AA808+AA810)=0,IF(AA813&lt;&gt;0,AA802/AA813,0),AA802/(AA808+AA810))</f>
        <v>0</v>
      </c>
      <c r="AC819" s="146"/>
      <c r="AD819" s="146"/>
      <c r="AE819" s="146"/>
      <c r="AF819" s="146"/>
      <c r="AG819" s="146"/>
      <c r="AH819" s="146"/>
      <c r="AI819" s="146"/>
      <c r="AJ819" s="146"/>
      <c r="AK819" s="146"/>
      <c r="AL819" s="146"/>
      <c r="AM819" s="146"/>
      <c r="AN819" s="146"/>
    </row>
    <row r="820" spans="2:40" x14ac:dyDescent="0.25">
      <c r="B820" s="12" t="s">
        <v>74</v>
      </c>
      <c r="C820" s="13" t="s">
        <v>358</v>
      </c>
      <c r="D820" s="13" t="s">
        <v>10</v>
      </c>
      <c r="E820" s="858" t="s">
        <v>404</v>
      </c>
      <c r="F820" s="870"/>
      <c r="G820" s="340">
        <f>G821+G822</f>
        <v>0</v>
      </c>
      <c r="H820" s="341">
        <f>H821+H822</f>
        <v>0</v>
      </c>
      <c r="K820" s="12" t="s">
        <v>74</v>
      </c>
      <c r="L820" s="13" t="s">
        <v>358</v>
      </c>
      <c r="M820" s="13" t="s">
        <v>10</v>
      </c>
      <c r="N820" s="858" t="s">
        <v>404</v>
      </c>
      <c r="O820" s="870"/>
      <c r="P820" s="340">
        <f>P821+P822</f>
        <v>0</v>
      </c>
      <c r="Q820" s="341">
        <f>Q821+Q822</f>
        <v>0</v>
      </c>
      <c r="T820" s="12" t="s">
        <v>74</v>
      </c>
      <c r="U820" s="13" t="s">
        <v>358</v>
      </c>
      <c r="V820" s="13" t="s">
        <v>10</v>
      </c>
      <c r="W820" s="858" t="s">
        <v>404</v>
      </c>
      <c r="X820" s="870"/>
      <c r="Y820" s="340">
        <f>Y821+Y822</f>
        <v>0</v>
      </c>
      <c r="Z820" s="340">
        <f>Z821+Z822</f>
        <v>0</v>
      </c>
      <c r="AA820" s="340">
        <f>AA821+AA822</f>
        <v>0</v>
      </c>
      <c r="AB820" s="341">
        <f>AB821+AB822</f>
        <v>0</v>
      </c>
      <c r="AC820" s="146"/>
      <c r="AD820" s="146"/>
      <c r="AE820" s="146"/>
      <c r="AF820" s="146"/>
      <c r="AG820" s="146"/>
      <c r="AH820" s="146"/>
      <c r="AI820" s="146"/>
      <c r="AJ820" s="146"/>
      <c r="AK820" s="146"/>
      <c r="AL820" s="146"/>
      <c r="AM820" s="146"/>
      <c r="AN820" s="146"/>
    </row>
    <row r="821" spans="2:40" x14ac:dyDescent="0.25">
      <c r="B821" s="12" t="s">
        <v>352</v>
      </c>
      <c r="C821" s="13" t="s">
        <v>359</v>
      </c>
      <c r="D821" s="13" t="s">
        <v>10</v>
      </c>
      <c r="E821" s="871"/>
      <c r="F821" s="872"/>
      <c r="G821" s="340">
        <f>IF(YEAR(Postup!$H$25)&gt;$D761,Provozování!BH$84,IF(AND(DAY(Postup!$H$25)=31,MONTH(Postup!$H$25)=12,YEAR(Postup!$H$25)=$D761),Provozování!BH$84,IF(YEAR(Postup!$H$25)=$D761,Provozování!$BL$84,0)))</f>
        <v>0</v>
      </c>
      <c r="H821" s="341">
        <f>IF(YEAR(Postup!$H$25)&gt;$D761,Provozování!BI$84,IF(AND(DAY(Postup!$H$25)=31,MONTH(Postup!$H$25)=12,YEAR(Postup!$H$25)=$D761),Provozování!BI$84,IF(YEAR(Postup!$H$25)=$D761,Provozování!$BM$84,0)))</f>
        <v>0</v>
      </c>
      <c r="K821" s="12" t="s">
        <v>352</v>
      </c>
      <c r="L821" s="13" t="s">
        <v>359</v>
      </c>
      <c r="M821" s="13" t="s">
        <v>10</v>
      </c>
      <c r="N821" s="871"/>
      <c r="O821" s="872"/>
      <c r="P821" s="340">
        <f>IF(Provozování!$BJ$16="Neaktivní",0,Provozování!BJ$84)</f>
        <v>0</v>
      </c>
      <c r="Q821" s="341">
        <f>IF(Provozování!BJ$16="Neaktivní",0,Provozování!BK$84)</f>
        <v>0</v>
      </c>
      <c r="T821" s="12" t="s">
        <v>352</v>
      </c>
      <c r="U821" s="13" t="s">
        <v>359</v>
      </c>
      <c r="V821" s="13" t="s">
        <v>10</v>
      </c>
      <c r="W821" s="871"/>
      <c r="X821" s="872"/>
      <c r="Y821" s="340">
        <f>Z821</f>
        <v>0</v>
      </c>
      <c r="Z821" s="340">
        <f>IF(Provozování!$BJ$16="Neaktivní",G821,P821)</f>
        <v>0</v>
      </c>
      <c r="AA821" s="340">
        <f>AB821</f>
        <v>0</v>
      </c>
      <c r="AB821" s="341">
        <f>IF(Provozování!$BJ$16="Neaktivní",H821,Q821)</f>
        <v>0</v>
      </c>
      <c r="AC821" s="146"/>
      <c r="AD821" s="146"/>
      <c r="AE821" s="146"/>
      <c r="AF821" s="146"/>
      <c r="AG821" s="146"/>
      <c r="AH821" s="146"/>
      <c r="AI821" s="146"/>
      <c r="AJ821" s="146"/>
      <c r="AK821" s="146"/>
      <c r="AL821" s="146"/>
      <c r="AM821" s="146"/>
      <c r="AN821" s="146"/>
    </row>
    <row r="822" spans="2:40" x14ac:dyDescent="0.25">
      <c r="B822" s="12" t="s">
        <v>361</v>
      </c>
      <c r="C822" s="13" t="s">
        <v>360</v>
      </c>
      <c r="D822" s="13" t="s">
        <v>10</v>
      </c>
      <c r="E822" s="884"/>
      <c r="F822" s="869"/>
      <c r="G822" s="340">
        <f>IF(YEAR(Postup!$H$25)&gt;$D$764,((-1)*(Provozování!BH102)),IF(AND(DAY(Postup!$H$25)=31,MONTH(Postup!$H$25)=12,YEAR(Postup!$H$25)=$D$764),((-1)*(Provozování!BH102)),IF(YEAR(Postup!$H$25)=$D$764,((-1)*(Provozování!BH102)),0)))</f>
        <v>0</v>
      </c>
      <c r="H822" s="341">
        <f>IF(YEAR(Postup!$H$25)&gt;$D$764,((-1)*(Provozování!BI102)),IF(AND(DAY(Postup!$H$25)=31,MONTH(Postup!$H$25)=12,YEAR(Postup!$H$25)=$D$764),((-1)*(Provozování!BI102)),IF(YEAR(Postup!$H$25)=$D$764,((-1)*(Provozování!BI102)),0)))</f>
        <v>0</v>
      </c>
      <c r="K822" s="12" t="s">
        <v>361</v>
      </c>
      <c r="L822" s="13" t="s">
        <v>360</v>
      </c>
      <c r="M822" s="13" t="s">
        <v>10</v>
      </c>
      <c r="N822" s="884"/>
      <c r="O822" s="869"/>
      <c r="P822" s="340">
        <f>IF(Provozování!$BJ$16="Neaktivní",0,((-1)*(Provozování!BH102)))</f>
        <v>0</v>
      </c>
      <c r="Q822" s="341">
        <f>IF(Provozování!$BJ$16="Neaktivní",0,((-1)*(Provozování!BI102)))</f>
        <v>0</v>
      </c>
      <c r="T822" s="12" t="s">
        <v>361</v>
      </c>
      <c r="U822" s="13" t="s">
        <v>360</v>
      </c>
      <c r="V822" s="13" t="s">
        <v>10</v>
      </c>
      <c r="W822" s="884"/>
      <c r="X822" s="869"/>
      <c r="Y822" s="340">
        <f>Z822</f>
        <v>0</v>
      </c>
      <c r="Z822" s="340">
        <f>IF(Provozování!$BJ$16="Neaktivní",G822,P822)</f>
        <v>0</v>
      </c>
      <c r="AA822" s="340">
        <f>AB822</f>
        <v>0</v>
      </c>
      <c r="AB822" s="341">
        <f>IF(Provozování!$BJ$16="Neaktivní",H822,Q822)</f>
        <v>0</v>
      </c>
      <c r="AC822" s="146"/>
      <c r="AD822" s="146"/>
      <c r="AE822" s="146"/>
      <c r="AF822" s="146"/>
      <c r="AG822" s="146"/>
      <c r="AH822" s="146"/>
      <c r="AI822" s="146"/>
      <c r="AJ822" s="146"/>
      <c r="AK822" s="146"/>
      <c r="AL822" s="146"/>
      <c r="AM822" s="146"/>
      <c r="AN822" s="146"/>
    </row>
    <row r="823" spans="2:40" x14ac:dyDescent="0.25">
      <c r="B823" s="12" t="s">
        <v>75</v>
      </c>
      <c r="C823" s="13" t="s">
        <v>396</v>
      </c>
      <c r="D823" s="13" t="s">
        <v>10</v>
      </c>
      <c r="E823" s="858" t="s">
        <v>405</v>
      </c>
      <c r="F823" s="870"/>
      <c r="G823" s="340">
        <f>F802+G820</f>
        <v>0</v>
      </c>
      <c r="H823" s="341">
        <f>H802+H820</f>
        <v>0</v>
      </c>
      <c r="K823" s="12" t="s">
        <v>75</v>
      </c>
      <c r="L823" s="13" t="s">
        <v>396</v>
      </c>
      <c r="M823" s="13" t="s">
        <v>10</v>
      </c>
      <c r="N823" s="858" t="s">
        <v>405</v>
      </c>
      <c r="O823" s="870"/>
      <c r="P823" s="340">
        <f>O802+P820</f>
        <v>0</v>
      </c>
      <c r="Q823" s="341">
        <f>Q802+Q820</f>
        <v>0</v>
      </c>
      <c r="T823" s="12" t="s">
        <v>75</v>
      </c>
      <c r="U823" s="13" t="s">
        <v>396</v>
      </c>
      <c r="V823" s="13" t="s">
        <v>10</v>
      </c>
      <c r="W823" s="858" t="s">
        <v>405</v>
      </c>
      <c r="X823" s="870"/>
      <c r="Y823" s="14">
        <f>W802+Y820</f>
        <v>0</v>
      </c>
      <c r="Z823" s="14">
        <f>X802+Z820</f>
        <v>0</v>
      </c>
      <c r="AA823" s="14">
        <f>Z802+AA820</f>
        <v>0</v>
      </c>
      <c r="AB823" s="15">
        <f>AA802+AB820</f>
        <v>0</v>
      </c>
      <c r="AC823" s="146"/>
      <c r="AD823" s="146"/>
      <c r="AE823" s="146"/>
      <c r="AF823" s="146"/>
      <c r="AG823" s="146"/>
      <c r="AH823" s="146"/>
      <c r="AI823" s="146"/>
      <c r="AJ823" s="146"/>
      <c r="AK823" s="146"/>
      <c r="AL823" s="146"/>
      <c r="AM823" s="146"/>
      <c r="AN823" s="146"/>
    </row>
    <row r="824" spans="2:40" x14ac:dyDescent="0.25">
      <c r="B824" s="12" t="s">
        <v>76</v>
      </c>
      <c r="C824" s="13" t="s">
        <v>373</v>
      </c>
      <c r="D824" s="13" t="s">
        <v>10</v>
      </c>
      <c r="E824" s="858"/>
      <c r="F824" s="859"/>
      <c r="G824" s="340">
        <f>IF(YEAR(Postup!$H$25)&gt;$D764,Provozování!BH$87,IF(AND(DAY(Postup!$H$25)=31,MONTH(Postup!$H$25)=12,YEAR(Postup!$H$25)=$D764),Provozování!BH$87,IF(YEAR(Postup!$H$25)=$D764,Provozování!$BL$87,0)))</f>
        <v>0</v>
      </c>
      <c r="H824" s="341">
        <f>IF(YEAR(Postup!$H$25)&gt;$D764,Provozování!BI$87,IF(AND(DAY(Postup!$H$25)=31,MONTH(Postup!$H$25)=12,YEAR(Postup!$H$25)=$D764),Provozování!BI$87,IF(YEAR(Postup!$H$25)=$D764,Provozování!$BM$87,0)))</f>
        <v>0</v>
      </c>
      <c r="K824" s="12" t="s">
        <v>76</v>
      </c>
      <c r="L824" s="13" t="s">
        <v>373</v>
      </c>
      <c r="M824" s="13" t="s">
        <v>10</v>
      </c>
      <c r="N824" s="858"/>
      <c r="O824" s="859"/>
      <c r="P824" s="340">
        <f>IF(Provozování!$BJ$16="Neaktivní",0,Provozování!BJ$87)</f>
        <v>0</v>
      </c>
      <c r="Q824" s="341">
        <f>IF(Provozování!BJ$16="Neaktivní",0,Provozování!BK$87)</f>
        <v>0</v>
      </c>
      <c r="T824" s="12" t="s">
        <v>76</v>
      </c>
      <c r="U824" s="13" t="s">
        <v>373</v>
      </c>
      <c r="V824" s="13" t="s">
        <v>10</v>
      </c>
      <c r="W824" s="858"/>
      <c r="X824" s="859"/>
      <c r="Y824" s="462">
        <f>IF(Provozování!BJ16="Aktivní",Provozování!BJ87,Provozování!BH87)</f>
        <v>2.3999896640999999E-2</v>
      </c>
      <c r="Z824" s="14">
        <f>IF(Provozování!$BJ$16="Neaktivní",G824,P824)</f>
        <v>0</v>
      </c>
      <c r="AA824" s="462">
        <f>IF(Provozování!BJ16="Aktivní",Provozování!BK87,Provozování!BI87)</f>
        <v>0.100000278</v>
      </c>
      <c r="AB824" s="15">
        <f>IF(Provozování!$BJ$16="Neaktivní",H824,Q824)</f>
        <v>0</v>
      </c>
      <c r="AC824" s="146"/>
      <c r="AD824" s="146"/>
      <c r="AE824" s="146"/>
      <c r="AF824" s="146"/>
      <c r="AG824" s="146"/>
      <c r="AH824" s="146"/>
      <c r="AI824" s="146"/>
      <c r="AJ824" s="146"/>
      <c r="AK824" s="146"/>
      <c r="AL824" s="146"/>
      <c r="AM824" s="146"/>
      <c r="AN824" s="146"/>
    </row>
    <row r="825" spans="2:40" ht="14.45" customHeight="1" x14ac:dyDescent="0.25">
      <c r="B825" s="12" t="s">
        <v>78</v>
      </c>
      <c r="C825" s="21" t="s">
        <v>402</v>
      </c>
      <c r="D825" s="13" t="s">
        <v>77</v>
      </c>
      <c r="E825" s="875" t="s">
        <v>406</v>
      </c>
      <c r="F825" s="1048"/>
      <c r="G825" s="137">
        <f>IF(G823=0,0,G824/G823*100)</f>
        <v>0</v>
      </c>
      <c r="H825" s="138">
        <f>IF(H823=0,0,H824/H823*100)</f>
        <v>0</v>
      </c>
      <c r="K825" s="12" t="s">
        <v>78</v>
      </c>
      <c r="L825" s="21" t="s">
        <v>402</v>
      </c>
      <c r="M825" s="13" t="s">
        <v>77</v>
      </c>
      <c r="N825" s="875" t="s">
        <v>406</v>
      </c>
      <c r="O825" s="1048"/>
      <c r="P825" s="137">
        <f>IF(P823=0,0,P824/P823*100)</f>
        <v>0</v>
      </c>
      <c r="Q825" s="138">
        <f>IF(Q823=0,0,Q824/Q823*100)</f>
        <v>0</v>
      </c>
      <c r="T825" s="12" t="s">
        <v>78</v>
      </c>
      <c r="U825" s="21" t="s">
        <v>402</v>
      </c>
      <c r="V825" s="13" t="s">
        <v>77</v>
      </c>
      <c r="W825" s="875" t="s">
        <v>406</v>
      </c>
      <c r="X825" s="1048"/>
      <c r="Y825" s="137">
        <f>IF(Y823=0,0,Y824/Y823*100)</f>
        <v>0</v>
      </c>
      <c r="Z825" s="137">
        <f>IF(Z823=0,0,Z824/Z823*100)</f>
        <v>0</v>
      </c>
      <c r="AA825" s="137">
        <f>IF(AA823=0,0,AA824/AA823*100)</f>
        <v>0</v>
      </c>
      <c r="AB825" s="138">
        <f>IF(AB823=0,0,AB824/AB823*100)</f>
        <v>0</v>
      </c>
      <c r="AC825" s="146"/>
      <c r="AD825" s="146"/>
      <c r="AE825" s="146"/>
      <c r="AF825" s="146"/>
      <c r="AG825" s="146"/>
      <c r="AH825" s="146"/>
      <c r="AI825" s="146"/>
      <c r="AJ825" s="146"/>
      <c r="AK825" s="146"/>
      <c r="AL825" s="146"/>
      <c r="AM825" s="146"/>
      <c r="AN825" s="146"/>
    </row>
    <row r="826" spans="2:40" x14ac:dyDescent="0.25">
      <c r="B826" s="12" t="s">
        <v>79</v>
      </c>
      <c r="C826" s="21" t="s">
        <v>408</v>
      </c>
      <c r="D826" s="13" t="s">
        <v>10</v>
      </c>
      <c r="E826" s="858" t="s">
        <v>407</v>
      </c>
      <c r="F826" s="870"/>
      <c r="G826" s="310">
        <v>0</v>
      </c>
      <c r="H826" s="111">
        <v>0</v>
      </c>
      <c r="K826" s="12" t="s">
        <v>79</v>
      </c>
      <c r="L826" s="21" t="s">
        <v>408</v>
      </c>
      <c r="M826" s="13" t="s">
        <v>10</v>
      </c>
      <c r="N826" s="858" t="s">
        <v>407</v>
      </c>
      <c r="O826" s="870"/>
      <c r="P826" s="310">
        <v>0</v>
      </c>
      <c r="Q826" s="111">
        <v>0</v>
      </c>
      <c r="T826" s="12" t="s">
        <v>79</v>
      </c>
      <c r="U826" s="21" t="s">
        <v>408</v>
      </c>
      <c r="V826" s="13" t="s">
        <v>10</v>
      </c>
      <c r="W826" s="858" t="s">
        <v>407</v>
      </c>
      <c r="X826" s="870"/>
      <c r="Y826" s="337">
        <v>0</v>
      </c>
      <c r="Z826" s="337">
        <v>0</v>
      </c>
      <c r="AA826" s="337">
        <v>0</v>
      </c>
      <c r="AB826" s="334">
        <v>0</v>
      </c>
      <c r="AC826" s="146"/>
      <c r="AD826" s="146"/>
      <c r="AE826" s="146"/>
      <c r="AF826" s="146"/>
      <c r="AG826" s="146"/>
      <c r="AH826" s="146"/>
      <c r="AI826" s="146"/>
      <c r="AJ826" s="146"/>
      <c r="AK826" s="146"/>
      <c r="AL826" s="146"/>
      <c r="AM826" s="146"/>
      <c r="AN826" s="146"/>
    </row>
    <row r="827" spans="2:40" x14ac:dyDescent="0.25">
      <c r="B827" s="12" t="s">
        <v>80</v>
      </c>
      <c r="C827" s="497" t="s">
        <v>354</v>
      </c>
      <c r="D827" s="13"/>
      <c r="E827" s="858" t="s">
        <v>409</v>
      </c>
      <c r="F827" s="870"/>
      <c r="G827" s="310">
        <f>G824-G826</f>
        <v>0</v>
      </c>
      <c r="H827" s="111">
        <f>H824-H826</f>
        <v>0</v>
      </c>
      <c r="K827" s="12" t="s">
        <v>80</v>
      </c>
      <c r="L827" s="497" t="s">
        <v>354</v>
      </c>
      <c r="M827" s="13"/>
      <c r="N827" s="858" t="s">
        <v>409</v>
      </c>
      <c r="O827" s="870"/>
      <c r="P827" s="310">
        <f>P824-P826</f>
        <v>0</v>
      </c>
      <c r="Q827" s="111">
        <f>Q824-Q826</f>
        <v>0</v>
      </c>
      <c r="T827" s="12" t="s">
        <v>80</v>
      </c>
      <c r="U827" s="497" t="s">
        <v>354</v>
      </c>
      <c r="V827" s="13"/>
      <c r="W827" s="858" t="s">
        <v>409</v>
      </c>
      <c r="X827" s="870"/>
      <c r="Y827" s="337">
        <f>Y824-Y826</f>
        <v>2.3999896640999999E-2</v>
      </c>
      <c r="Z827" s="337">
        <f>Z824-Z826</f>
        <v>0</v>
      </c>
      <c r="AA827" s="337">
        <f>AA824-AA826</f>
        <v>0.100000278</v>
      </c>
      <c r="AB827" s="334">
        <f>AB824-AB826</f>
        <v>0</v>
      </c>
      <c r="AC827" s="146"/>
      <c r="AD827" s="146"/>
      <c r="AE827" s="146"/>
      <c r="AF827" s="146"/>
      <c r="AG827" s="146"/>
      <c r="AH827" s="146"/>
      <c r="AI827" s="146"/>
      <c r="AJ827" s="146"/>
      <c r="AK827" s="146"/>
      <c r="AL827" s="146"/>
      <c r="AM827" s="146"/>
      <c r="AN827" s="146"/>
    </row>
    <row r="828" spans="2:40" x14ac:dyDescent="0.25">
      <c r="B828" s="12" t="s">
        <v>82</v>
      </c>
      <c r="C828" s="13" t="s">
        <v>395</v>
      </c>
      <c r="D828" s="13" t="s">
        <v>10</v>
      </c>
      <c r="E828" s="858" t="s">
        <v>410</v>
      </c>
      <c r="F828" s="870"/>
      <c r="G828" s="340">
        <f>G823+G824</f>
        <v>0</v>
      </c>
      <c r="H828" s="341">
        <f>H823+H824</f>
        <v>0</v>
      </c>
      <c r="K828" s="12" t="s">
        <v>82</v>
      </c>
      <c r="L828" s="13" t="s">
        <v>395</v>
      </c>
      <c r="M828" s="13" t="s">
        <v>10</v>
      </c>
      <c r="N828" s="858" t="s">
        <v>410</v>
      </c>
      <c r="O828" s="870"/>
      <c r="P828" s="340">
        <f>P823+P824</f>
        <v>0</v>
      </c>
      <c r="Q828" s="341">
        <f>Q823+Q824</f>
        <v>0</v>
      </c>
      <c r="T828" s="12" t="s">
        <v>82</v>
      </c>
      <c r="U828" s="13" t="s">
        <v>395</v>
      </c>
      <c r="V828" s="13" t="s">
        <v>10</v>
      </c>
      <c r="W828" s="858" t="s">
        <v>410</v>
      </c>
      <c r="X828" s="870"/>
      <c r="Y828" s="340">
        <f>Y823+Y824</f>
        <v>2.3999896640999999E-2</v>
      </c>
      <c r="Z828" s="340">
        <f>Z823+Z824</f>
        <v>0</v>
      </c>
      <c r="AA828" s="340">
        <f>AA823+AA824</f>
        <v>0.100000278</v>
      </c>
      <c r="AB828" s="341">
        <f>AB823+AB824</f>
        <v>0</v>
      </c>
      <c r="AC828" s="146"/>
      <c r="AD828" s="146"/>
      <c r="AE828" s="146"/>
      <c r="AF828" s="146"/>
      <c r="AG828" s="146"/>
      <c r="AH828" s="146"/>
      <c r="AI828" s="146"/>
      <c r="AJ828" s="146"/>
      <c r="AK828" s="146"/>
      <c r="AL828" s="146"/>
      <c r="AM828" s="146"/>
      <c r="AN828" s="146"/>
    </row>
    <row r="829" spans="2:40" x14ac:dyDescent="0.25">
      <c r="B829" s="12" t="s">
        <v>83</v>
      </c>
      <c r="C829" s="13" t="s">
        <v>81</v>
      </c>
      <c r="D829" s="13" t="s">
        <v>58</v>
      </c>
      <c r="E829" s="858" t="s">
        <v>411</v>
      </c>
      <c r="F829" s="870"/>
      <c r="G829" s="340">
        <f>IF(F806=0,F812,F806)</f>
        <v>0</v>
      </c>
      <c r="H829" s="341">
        <f>IF(H808+H810=0,H813,H808+H810)</f>
        <v>0</v>
      </c>
      <c r="K829" s="12" t="s">
        <v>83</v>
      </c>
      <c r="L829" s="13" t="s">
        <v>81</v>
      </c>
      <c r="M829" s="13" t="s">
        <v>58</v>
      </c>
      <c r="N829" s="858" t="s">
        <v>411</v>
      </c>
      <c r="O829" s="870"/>
      <c r="P829" s="340">
        <f>IF(O806=0,O812,O806)</f>
        <v>0</v>
      </c>
      <c r="Q829" s="341">
        <f>IF(Q808+Q810=0,Q813,Q808+Q810)</f>
        <v>0</v>
      </c>
      <c r="T829" s="12" t="s">
        <v>83</v>
      </c>
      <c r="U829" s="13" t="s">
        <v>81</v>
      </c>
      <c r="V829" s="13" t="s">
        <v>58</v>
      </c>
      <c r="W829" s="858" t="s">
        <v>411</v>
      </c>
      <c r="X829" s="870"/>
      <c r="Y829" s="14">
        <f>IF(W806=0,W812,W806)</f>
        <v>0</v>
      </c>
      <c r="Z829" s="14">
        <f>IF(X806=0,X812,X806)</f>
        <v>0</v>
      </c>
      <c r="AA829" s="14">
        <f>IF(Z808+Z810=0,Z813,Z808+Z810)</f>
        <v>0</v>
      </c>
      <c r="AB829" s="15">
        <f>IF(AA808+AA810=0,AA813,AA808+AA810)</f>
        <v>0</v>
      </c>
      <c r="AC829" s="146"/>
      <c r="AD829" s="146"/>
      <c r="AE829" s="146"/>
      <c r="AF829" s="146"/>
      <c r="AG829" s="146"/>
      <c r="AH829" s="146"/>
      <c r="AI829" s="146"/>
      <c r="AJ829" s="146"/>
      <c r="AK829" s="146"/>
      <c r="AL829" s="146"/>
      <c r="AM829" s="146"/>
      <c r="AN829" s="146"/>
    </row>
    <row r="830" spans="2:40" x14ac:dyDescent="0.25">
      <c r="B830" s="12" t="s">
        <v>155</v>
      </c>
      <c r="C830" s="13" t="s">
        <v>393</v>
      </c>
      <c r="D830" s="13" t="s">
        <v>73</v>
      </c>
      <c r="E830" s="858" t="s">
        <v>412</v>
      </c>
      <c r="F830" s="870"/>
      <c r="G830" s="137">
        <f>IF(G829=0,0,G828/G829)</f>
        <v>0</v>
      </c>
      <c r="H830" s="138">
        <f>IF(H829=0,0,H828/H829)</f>
        <v>0</v>
      </c>
      <c r="K830" s="12" t="s">
        <v>155</v>
      </c>
      <c r="L830" s="13" t="s">
        <v>393</v>
      </c>
      <c r="M830" s="13" t="s">
        <v>73</v>
      </c>
      <c r="N830" s="858" t="s">
        <v>412</v>
      </c>
      <c r="O830" s="870"/>
      <c r="P830" s="137">
        <f>IF(P829=0,0,P828/P829)</f>
        <v>0</v>
      </c>
      <c r="Q830" s="138">
        <f>IF(Q829=0,0,Q828/Q829)</f>
        <v>0</v>
      </c>
      <c r="T830" s="12" t="s">
        <v>155</v>
      </c>
      <c r="U830" s="13" t="s">
        <v>393</v>
      </c>
      <c r="V830" s="13" t="s">
        <v>73</v>
      </c>
      <c r="W830" s="858" t="s">
        <v>412</v>
      </c>
      <c r="X830" s="870"/>
      <c r="Y830" s="137">
        <f>IF(Y829=0,0,Y828/Y829)</f>
        <v>0</v>
      </c>
      <c r="Z830" s="137">
        <f>IF(Z829=0,0,Z828/Z829)</f>
        <v>0</v>
      </c>
      <c r="AA830" s="137">
        <f>IF(AA829=0,0,AA828/AA829)</f>
        <v>0</v>
      </c>
      <c r="AB830" s="138">
        <f>IF(AB829=0,0,AB828/AB829)</f>
        <v>0</v>
      </c>
      <c r="AC830" s="146"/>
      <c r="AD830" s="146"/>
      <c r="AE830" s="146"/>
      <c r="AF830" s="146"/>
      <c r="AG830" s="146"/>
      <c r="AH830" s="146"/>
      <c r="AI830" s="146"/>
      <c r="AJ830" s="146"/>
      <c r="AK830" s="146"/>
      <c r="AL830" s="146"/>
      <c r="AM830" s="146"/>
      <c r="AN830" s="146"/>
    </row>
    <row r="831" spans="2:40" x14ac:dyDescent="0.25">
      <c r="B831" s="210" t="s">
        <v>355</v>
      </c>
      <c r="C831" s="244" t="str">
        <f>CONCATENATE("UPLATŇOVANÁ CENA pro vodné, stočné +",Provozování!BH97*100,"% DPH")</f>
        <v>UPLATŇOVANÁ CENA pro vodné, stočné +10% DPH</v>
      </c>
      <c r="D831" s="244" t="s">
        <v>73</v>
      </c>
      <c r="E831" s="858" t="s">
        <v>413</v>
      </c>
      <c r="F831" s="870"/>
      <c r="G831" s="138">
        <f>G830*(1+Provozování!BH$97)</f>
        <v>0</v>
      </c>
      <c r="H831" s="138">
        <f>H830*(1+Provozování!BI$97)</f>
        <v>0</v>
      </c>
      <c r="K831" s="210" t="s">
        <v>355</v>
      </c>
      <c r="L831" s="244" t="str">
        <f>C831</f>
        <v>UPLATŇOVANÁ CENA pro vodné, stočné +10% DPH</v>
      </c>
      <c r="M831" s="244" t="s">
        <v>73</v>
      </c>
      <c r="N831" s="858" t="s">
        <v>413</v>
      </c>
      <c r="O831" s="870"/>
      <c r="P831" s="138">
        <f>P830*(1+Provozování!BH$97)</f>
        <v>0</v>
      </c>
      <c r="Q831" s="138">
        <f>Q830*(1+Provozování!BI$97)</f>
        <v>0</v>
      </c>
      <c r="T831" s="12" t="s">
        <v>355</v>
      </c>
      <c r="U831" s="13" t="str">
        <f>C831</f>
        <v>UPLATŇOVANÁ CENA pro vodné, stočné +10% DPH</v>
      </c>
      <c r="V831" s="13" t="s">
        <v>73</v>
      </c>
      <c r="W831" s="858" t="s">
        <v>413</v>
      </c>
      <c r="X831" s="870"/>
      <c r="Y831" s="137">
        <f>Y830*(1+Provozování!BH$97)</f>
        <v>0</v>
      </c>
      <c r="Z831" s="137">
        <f>Z830*(1+Provozování!BI$97)</f>
        <v>0</v>
      </c>
      <c r="AA831" s="137">
        <f>AA830*(1+Provozování!BH$97)</f>
        <v>0</v>
      </c>
      <c r="AB831" s="138">
        <f>AB830*(1+Provozování!BI$97)</f>
        <v>0</v>
      </c>
      <c r="AC831" s="146"/>
      <c r="AD831" s="146"/>
      <c r="AE831" s="146"/>
      <c r="AF831" s="146"/>
      <c r="AG831" s="146"/>
      <c r="AH831" s="146"/>
      <c r="AI831" s="146"/>
      <c r="AJ831" s="146"/>
      <c r="AK831" s="146"/>
      <c r="AL831" s="146"/>
      <c r="AM831" s="146"/>
      <c r="AN831" s="146"/>
    </row>
    <row r="832" spans="2:40" x14ac:dyDescent="0.25">
      <c r="B832" s="210" t="s">
        <v>356</v>
      </c>
      <c r="C832" s="244" t="s">
        <v>357</v>
      </c>
      <c r="D832" s="244" t="s">
        <v>73</v>
      </c>
      <c r="E832" s="884" t="s">
        <v>414</v>
      </c>
      <c r="F832" s="869"/>
      <c r="G832" s="138">
        <v>0</v>
      </c>
      <c r="H832" s="138">
        <v>0</v>
      </c>
      <c r="K832" s="210" t="s">
        <v>356</v>
      </c>
      <c r="L832" s="244" t="s">
        <v>357</v>
      </c>
      <c r="M832" s="244" t="s">
        <v>73</v>
      </c>
      <c r="N832" s="884" t="s">
        <v>414</v>
      </c>
      <c r="O832" s="869"/>
      <c r="P832" s="138">
        <v>0</v>
      </c>
      <c r="Q832" s="138">
        <v>0</v>
      </c>
      <c r="T832" s="528" t="s">
        <v>356</v>
      </c>
      <c r="U832" s="2" t="s">
        <v>357</v>
      </c>
      <c r="V832" s="2" t="s">
        <v>73</v>
      </c>
      <c r="W832" s="884" t="s">
        <v>414</v>
      </c>
      <c r="X832" s="869"/>
      <c r="Y832" s="529">
        <v>0</v>
      </c>
      <c r="Z832" s="529">
        <v>0</v>
      </c>
      <c r="AA832" s="529">
        <v>0</v>
      </c>
      <c r="AB832" s="530">
        <v>0</v>
      </c>
      <c r="AC832" s="146"/>
      <c r="AD832" s="146"/>
      <c r="AE832" s="146"/>
      <c r="AF832" s="146"/>
      <c r="AG832" s="146"/>
      <c r="AH832" s="146"/>
      <c r="AI832" s="146"/>
      <c r="AJ832" s="146"/>
      <c r="AK832" s="146"/>
      <c r="AL832" s="146"/>
      <c r="AM832" s="146"/>
      <c r="AN832" s="146"/>
    </row>
    <row r="833" spans="1:40" ht="19.5" x14ac:dyDescent="0.25">
      <c r="T833" s="1089" t="s">
        <v>364</v>
      </c>
      <c r="U833" s="1089" t="s">
        <v>154</v>
      </c>
      <c r="V833" s="882" t="s">
        <v>10</v>
      </c>
      <c r="W833" s="854" t="s">
        <v>156</v>
      </c>
      <c r="X833" s="858"/>
      <c r="Y833" s="89" t="s">
        <v>158</v>
      </c>
      <c r="Z833" s="92" t="s">
        <v>159</v>
      </c>
      <c r="AA833" s="89" t="s">
        <v>158</v>
      </c>
      <c r="AB833" s="92" t="s">
        <v>159</v>
      </c>
      <c r="AC833" s="146"/>
      <c r="AD833" s="146"/>
      <c r="AE833" s="146"/>
      <c r="AF833" s="146"/>
      <c r="AG833" s="146"/>
      <c r="AH833" s="146"/>
      <c r="AI833" s="146"/>
      <c r="AJ833" s="146"/>
      <c r="AK833" s="146"/>
      <c r="AL833" s="146"/>
      <c r="AM833" s="146"/>
      <c r="AN833" s="146"/>
    </row>
    <row r="834" spans="1:40" x14ac:dyDescent="0.25">
      <c r="B834" s="383" t="s">
        <v>283</v>
      </c>
      <c r="T834" s="1090"/>
      <c r="U834" s="1090"/>
      <c r="V834" s="1092"/>
      <c r="W834" s="1093">
        <v>0</v>
      </c>
      <c r="X834" s="1094"/>
      <c r="Y834" s="90">
        <f>W764</f>
        <v>2034</v>
      </c>
      <c r="Z834" s="90">
        <f>W764</f>
        <v>2034</v>
      </c>
      <c r="AA834" s="90">
        <f>W764</f>
        <v>2034</v>
      </c>
      <c r="AB834" s="90">
        <f>W764</f>
        <v>2034</v>
      </c>
      <c r="AC834" s="146"/>
      <c r="AD834" s="146"/>
      <c r="AE834" s="146"/>
      <c r="AF834" s="146"/>
      <c r="AG834" s="146"/>
      <c r="AH834" s="146"/>
      <c r="AI834" s="146"/>
      <c r="AJ834" s="146"/>
      <c r="AK834" s="146"/>
      <c r="AL834" s="146"/>
      <c r="AM834" s="146"/>
      <c r="AN834" s="146"/>
    </row>
    <row r="835" spans="1:40" x14ac:dyDescent="0.25">
      <c r="B835" s="383" t="s">
        <v>284</v>
      </c>
      <c r="T835" s="1090"/>
      <c r="U835" s="1090"/>
      <c r="V835" s="1092"/>
      <c r="W835" s="854" t="s">
        <v>157</v>
      </c>
      <c r="X835" s="858"/>
      <c r="Y835" s="91" t="s">
        <v>160</v>
      </c>
      <c r="Z835" s="91" t="s">
        <v>160</v>
      </c>
      <c r="AA835" s="91" t="s">
        <v>161</v>
      </c>
      <c r="AB835" s="91" t="s">
        <v>161</v>
      </c>
      <c r="AC835" s="146"/>
      <c r="AD835" s="146"/>
      <c r="AE835" s="146"/>
      <c r="AF835" s="146"/>
      <c r="AG835" s="146"/>
      <c r="AH835" s="146"/>
      <c r="AI835" s="146"/>
      <c r="AJ835" s="146"/>
      <c r="AK835" s="146"/>
      <c r="AL835" s="146"/>
      <c r="AM835" s="146"/>
      <c r="AN835" s="146"/>
    </row>
    <row r="836" spans="1:40" x14ac:dyDescent="0.25">
      <c r="T836" s="1091"/>
      <c r="U836" s="1091"/>
      <c r="V836" s="883"/>
      <c r="W836" s="1095">
        <v>0</v>
      </c>
      <c r="X836" s="1093"/>
      <c r="Y836" s="464">
        <v>0</v>
      </c>
      <c r="Z836" s="464">
        <v>0</v>
      </c>
      <c r="AA836" s="464">
        <v>0</v>
      </c>
      <c r="AB836" s="464">
        <v>0</v>
      </c>
      <c r="AC836" s="146"/>
      <c r="AD836" s="146"/>
      <c r="AE836" s="146"/>
      <c r="AF836" s="146"/>
      <c r="AG836" s="146"/>
      <c r="AH836" s="146"/>
      <c r="AI836" s="146"/>
      <c r="AJ836" s="146"/>
      <c r="AK836" s="146"/>
      <c r="AL836" s="146"/>
      <c r="AM836" s="146"/>
      <c r="AN836" s="146"/>
    </row>
    <row r="837" spans="1:40" x14ac:dyDescent="0.25">
      <c r="A837" s="252"/>
      <c r="B837" s="29"/>
      <c r="C837" s="29"/>
      <c r="D837" s="29"/>
      <c r="E837" s="29"/>
      <c r="F837" s="29"/>
      <c r="G837" s="29"/>
      <c r="H837" s="29"/>
      <c r="I837" s="29"/>
      <c r="J837" s="29"/>
      <c r="K837" s="29"/>
      <c r="L837" s="29"/>
      <c r="M837" s="29"/>
      <c r="N837" s="29"/>
      <c r="O837" s="29"/>
      <c r="P837" s="29"/>
      <c r="Q837" s="29"/>
      <c r="R837" s="29"/>
      <c r="AC837" s="146"/>
      <c r="AD837" s="146"/>
      <c r="AE837" s="146"/>
      <c r="AF837" s="146"/>
      <c r="AG837" s="338"/>
      <c r="AH837" s="338"/>
    </row>
    <row r="838" spans="1:40" x14ac:dyDescent="0.25">
      <c r="AD838" s="146"/>
      <c r="AE838" s="146"/>
      <c r="AF838" s="146"/>
      <c r="AG838" s="146"/>
      <c r="AH838" s="146"/>
      <c r="AI838" s="146"/>
      <c r="AJ838" s="146"/>
      <c r="AK838" s="146"/>
      <c r="AL838" s="146"/>
      <c r="AM838" s="146"/>
      <c r="AN838" s="146"/>
    </row>
    <row r="839" spans="1:40" x14ac:dyDescent="0.25">
      <c r="AD839" s="146"/>
      <c r="AE839" s="146"/>
      <c r="AF839" s="146"/>
      <c r="AG839" s="146"/>
      <c r="AH839" s="146"/>
      <c r="AI839" s="146"/>
      <c r="AJ839" s="146"/>
      <c r="AK839" s="146"/>
      <c r="AL839" s="146"/>
      <c r="AM839" s="146"/>
      <c r="AN839" s="146"/>
    </row>
    <row r="840" spans="1:40" x14ac:dyDescent="0.25">
      <c r="B840" s="241" t="s">
        <v>249</v>
      </c>
      <c r="C840" s="62"/>
      <c r="D840" s="62"/>
      <c r="E840" s="62"/>
      <c r="F840" s="62"/>
      <c r="G840" s="62"/>
      <c r="H840" s="62"/>
      <c r="I840" s="62"/>
      <c r="AD840" s="146"/>
      <c r="AE840" s="146"/>
      <c r="AF840" s="146"/>
      <c r="AG840" s="146"/>
      <c r="AH840" s="146"/>
      <c r="AI840" s="146"/>
      <c r="AJ840" s="146"/>
      <c r="AK840" s="146"/>
      <c r="AL840" s="146"/>
      <c r="AM840" s="146"/>
      <c r="AN840" s="146"/>
    </row>
    <row r="841" spans="1:40" x14ac:dyDescent="0.25">
      <c r="B841" s="398" t="s">
        <v>117</v>
      </c>
      <c r="C841" s="399"/>
      <c r="D841" s="399"/>
      <c r="E841" s="399"/>
      <c r="F841" s="399"/>
      <c r="G841" s="399"/>
      <c r="H841" s="399"/>
      <c r="I841" s="655"/>
      <c r="AD841" s="146"/>
      <c r="AE841" s="146"/>
      <c r="AF841" s="146"/>
      <c r="AG841" s="146"/>
      <c r="AH841" s="146"/>
      <c r="AI841" s="146"/>
      <c r="AJ841" s="146"/>
      <c r="AK841" s="146"/>
      <c r="AL841" s="146"/>
      <c r="AM841" s="146"/>
      <c r="AN841" s="146"/>
    </row>
    <row r="842" spans="1:40" x14ac:dyDescent="0.25">
      <c r="B842" s="401" t="s">
        <v>208</v>
      </c>
      <c r="C842" s="402"/>
      <c r="D842" s="402"/>
      <c r="E842" s="402"/>
      <c r="F842" s="402"/>
      <c r="G842" s="402"/>
      <c r="H842" s="402"/>
      <c r="I842" s="655"/>
      <c r="AD842" s="146"/>
      <c r="AE842" s="146"/>
      <c r="AF842" s="146"/>
      <c r="AG842" s="146"/>
      <c r="AH842" s="146"/>
      <c r="AI842" s="146"/>
      <c r="AJ842" s="146"/>
      <c r="AK842" s="146"/>
      <c r="AL842" s="146"/>
      <c r="AM842" s="146"/>
      <c r="AN842" s="146"/>
    </row>
    <row r="843" spans="1:40" x14ac:dyDescent="0.25">
      <c r="B843" s="220" t="s">
        <v>176</v>
      </c>
      <c r="C843" s="221"/>
      <c r="D843" s="221"/>
      <c r="E843" s="221"/>
      <c r="F843" s="221"/>
      <c r="G843" s="221"/>
      <c r="H843" s="221"/>
      <c r="I843" s="656"/>
      <c r="AD843" s="146"/>
      <c r="AE843" s="146"/>
      <c r="AF843" s="146"/>
      <c r="AG843" s="146"/>
      <c r="AH843" s="146"/>
      <c r="AI843" s="146"/>
      <c r="AJ843" s="146"/>
      <c r="AK843" s="146"/>
      <c r="AL843" s="146"/>
      <c r="AM843" s="146"/>
      <c r="AN843" s="146"/>
    </row>
    <row r="844" spans="1:40" x14ac:dyDescent="0.25">
      <c r="B844" s="404" t="s">
        <v>140</v>
      </c>
      <c r="C844" s="405"/>
      <c r="D844" s="405"/>
      <c r="E844" s="405"/>
      <c r="F844" s="405"/>
      <c r="G844" s="405"/>
      <c r="H844" s="405"/>
      <c r="I844" s="657"/>
      <c r="AD844" s="146"/>
      <c r="AE844" s="146"/>
      <c r="AF844" s="146"/>
      <c r="AG844" s="146"/>
      <c r="AH844" s="146"/>
      <c r="AI844" s="146"/>
      <c r="AJ844" s="146"/>
      <c r="AK844" s="146"/>
      <c r="AL844" s="146"/>
      <c r="AM844" s="146"/>
      <c r="AN844" s="146"/>
    </row>
    <row r="845" spans="1:40" x14ac:dyDescent="0.25">
      <c r="B845" s="223" t="s">
        <v>135</v>
      </c>
      <c r="C845" s="224"/>
      <c r="D845" s="224"/>
      <c r="E845" s="224"/>
      <c r="F845" s="224"/>
      <c r="G845" s="224"/>
      <c r="H845" s="224"/>
      <c r="I845" s="225"/>
      <c r="AD845" s="146"/>
      <c r="AE845" s="146"/>
      <c r="AF845" s="146"/>
      <c r="AG845" s="146"/>
      <c r="AH845" s="146"/>
      <c r="AI845" s="146"/>
      <c r="AJ845" s="146"/>
      <c r="AK845" s="146"/>
      <c r="AL845" s="146"/>
      <c r="AM845" s="146"/>
      <c r="AN845" s="146"/>
    </row>
    <row r="846" spans="1:40" x14ac:dyDescent="0.25">
      <c r="B846" s="226" t="s">
        <v>163</v>
      </c>
      <c r="C846" s="227"/>
      <c r="D846" s="227"/>
      <c r="E846" s="227"/>
      <c r="F846" s="227"/>
      <c r="G846" s="227"/>
      <c r="H846" s="227"/>
      <c r="I846" s="658"/>
      <c r="AD846" s="146"/>
      <c r="AE846" s="146"/>
      <c r="AF846" s="146"/>
      <c r="AG846" s="146"/>
      <c r="AH846" s="146"/>
      <c r="AI846" s="146"/>
      <c r="AJ846" s="146"/>
      <c r="AK846" s="146"/>
      <c r="AL846" s="146"/>
      <c r="AM846" s="146"/>
      <c r="AN846" s="146"/>
    </row>
    <row r="847" spans="1:40" x14ac:dyDescent="0.25">
      <c r="AD847" s="146"/>
      <c r="AE847" s="146"/>
      <c r="AF847" s="146"/>
      <c r="AG847" s="146"/>
      <c r="AH847" s="146"/>
      <c r="AI847" s="146"/>
      <c r="AJ847" s="146"/>
      <c r="AK847" s="146"/>
      <c r="AL847" s="146"/>
      <c r="AM847" s="146"/>
      <c r="AN847" s="146"/>
    </row>
    <row r="848" spans="1:40" hidden="1" x14ac:dyDescent="0.25">
      <c r="AD848" s="146"/>
      <c r="AE848" s="146"/>
      <c r="AF848" s="146"/>
      <c r="AG848" s="146"/>
      <c r="AH848" s="146"/>
      <c r="AI848" s="146"/>
      <c r="AJ848" s="146"/>
      <c r="AK848" s="146"/>
      <c r="AL848" s="146"/>
      <c r="AM848" s="146"/>
      <c r="AN848" s="146"/>
    </row>
    <row r="849" spans="30:40" hidden="1" x14ac:dyDescent="0.25">
      <c r="AD849" s="146"/>
      <c r="AE849" s="146"/>
      <c r="AF849" s="146"/>
      <c r="AG849" s="146"/>
      <c r="AH849" s="146"/>
      <c r="AI849" s="146"/>
      <c r="AJ849" s="146"/>
      <c r="AK849" s="146"/>
      <c r="AL849" s="146"/>
      <c r="AM849" s="146"/>
      <c r="AN849" s="146"/>
    </row>
    <row r="850" spans="30:40" hidden="1" x14ac:dyDescent="0.25">
      <c r="AD850" s="146"/>
      <c r="AE850" s="146"/>
      <c r="AF850" s="146"/>
      <c r="AG850" s="146"/>
      <c r="AH850" s="146"/>
      <c r="AI850" s="146"/>
      <c r="AJ850" s="146"/>
      <c r="AK850" s="146"/>
      <c r="AL850" s="146"/>
      <c r="AM850" s="146"/>
      <c r="AN850" s="146"/>
    </row>
    <row r="851" spans="30:40" hidden="1" x14ac:dyDescent="0.25">
      <c r="AD851" s="146"/>
      <c r="AE851" s="146"/>
      <c r="AF851" s="146"/>
      <c r="AG851" s="146"/>
      <c r="AH851" s="146"/>
      <c r="AI851" s="146"/>
      <c r="AJ851" s="146"/>
      <c r="AK851" s="146"/>
      <c r="AL851" s="146"/>
      <c r="AM851" s="146"/>
      <c r="AN851" s="146"/>
    </row>
    <row r="852" spans="30:40" hidden="1" x14ac:dyDescent="0.25">
      <c r="AD852" s="146"/>
      <c r="AE852" s="146"/>
      <c r="AF852" s="146"/>
      <c r="AG852" s="146"/>
      <c r="AH852" s="146"/>
      <c r="AI852" s="146"/>
      <c r="AJ852" s="146"/>
      <c r="AK852" s="146"/>
      <c r="AL852" s="146"/>
      <c r="AM852" s="146"/>
      <c r="AN852" s="146"/>
    </row>
    <row r="853" spans="30:40" hidden="1" x14ac:dyDescent="0.25">
      <c r="AD853" s="146"/>
      <c r="AE853" s="146"/>
      <c r="AF853" s="146"/>
      <c r="AG853" s="146"/>
      <c r="AH853" s="146"/>
      <c r="AI853" s="146"/>
      <c r="AJ853" s="146"/>
      <c r="AK853" s="146"/>
      <c r="AL853" s="146"/>
      <c r="AM853" s="146"/>
      <c r="AN853" s="146"/>
    </row>
    <row r="854" spans="30:40" hidden="1" x14ac:dyDescent="0.25">
      <c r="AD854" s="146"/>
      <c r="AE854" s="146"/>
      <c r="AF854" s="146"/>
      <c r="AG854" s="146"/>
      <c r="AH854" s="146"/>
      <c r="AI854" s="146"/>
      <c r="AJ854" s="146"/>
      <c r="AK854" s="146"/>
      <c r="AL854" s="146"/>
      <c r="AM854" s="146"/>
      <c r="AN854" s="146"/>
    </row>
    <row r="855" spans="30:40" hidden="1" x14ac:dyDescent="0.25">
      <c r="AD855" s="146"/>
      <c r="AE855" s="146"/>
      <c r="AF855" s="146"/>
      <c r="AG855" s="146"/>
      <c r="AH855" s="146"/>
      <c r="AI855" s="146"/>
      <c r="AJ855" s="146"/>
      <c r="AK855" s="146"/>
      <c r="AL855" s="146"/>
      <c r="AM855" s="146"/>
      <c r="AN855" s="146"/>
    </row>
    <row r="856" spans="30:40" hidden="1" x14ac:dyDescent="0.25">
      <c r="AD856" s="146"/>
      <c r="AE856" s="146"/>
      <c r="AF856" s="146"/>
      <c r="AG856" s="146"/>
      <c r="AH856" s="146"/>
      <c r="AI856" s="146"/>
      <c r="AJ856" s="146"/>
      <c r="AK856" s="146"/>
      <c r="AL856" s="146"/>
      <c r="AM856" s="146"/>
      <c r="AN856" s="146"/>
    </row>
    <row r="857" spans="30:40" hidden="1" x14ac:dyDescent="0.25">
      <c r="AD857" s="146"/>
      <c r="AE857" s="146"/>
      <c r="AF857" s="146"/>
      <c r="AG857" s="146"/>
      <c r="AH857" s="146"/>
      <c r="AI857" s="146"/>
      <c r="AJ857" s="146"/>
      <c r="AK857" s="146"/>
      <c r="AL857" s="146"/>
      <c r="AM857" s="146"/>
      <c r="AN857" s="146"/>
    </row>
    <row r="858" spans="30:40" hidden="1" x14ac:dyDescent="0.25">
      <c r="AD858" s="146"/>
      <c r="AE858" s="146"/>
      <c r="AF858" s="146"/>
      <c r="AG858" s="146"/>
      <c r="AH858" s="146"/>
      <c r="AI858" s="146"/>
      <c r="AJ858" s="146"/>
      <c r="AK858" s="146"/>
      <c r="AL858" s="146"/>
      <c r="AM858" s="146"/>
      <c r="AN858" s="146"/>
    </row>
    <row r="859" spans="30:40" hidden="1" x14ac:dyDescent="0.25">
      <c r="AD859" s="146"/>
      <c r="AE859" s="146"/>
      <c r="AF859" s="146"/>
      <c r="AG859" s="146"/>
      <c r="AH859" s="146"/>
      <c r="AI859" s="146"/>
      <c r="AJ859" s="146"/>
      <c r="AK859" s="146"/>
      <c r="AL859" s="146"/>
      <c r="AM859" s="146"/>
      <c r="AN859" s="146"/>
    </row>
    <row r="860" spans="30:40" hidden="1" x14ac:dyDescent="0.25">
      <c r="AD860" s="146"/>
      <c r="AE860" s="146"/>
      <c r="AF860" s="146"/>
      <c r="AG860" s="146"/>
      <c r="AH860" s="146"/>
      <c r="AI860" s="146"/>
      <c r="AJ860" s="146"/>
      <c r="AK860" s="146"/>
      <c r="AL860" s="146"/>
      <c r="AM860" s="146"/>
      <c r="AN860" s="146"/>
    </row>
    <row r="861" spans="30:40" hidden="1" x14ac:dyDescent="0.25">
      <c r="AD861" s="146"/>
      <c r="AE861" s="146"/>
      <c r="AF861" s="146"/>
      <c r="AG861" s="146"/>
      <c r="AH861" s="146"/>
      <c r="AI861" s="146"/>
      <c r="AJ861" s="146"/>
      <c r="AK861" s="146"/>
      <c r="AL861" s="146"/>
      <c r="AM861" s="146"/>
      <c r="AN861" s="146"/>
    </row>
    <row r="862" spans="30:40" hidden="1" x14ac:dyDescent="0.25">
      <c r="AD862" s="146"/>
      <c r="AE862" s="146"/>
      <c r="AF862" s="146"/>
      <c r="AG862" s="146"/>
      <c r="AH862" s="146"/>
      <c r="AI862" s="146"/>
      <c r="AJ862" s="146"/>
      <c r="AK862" s="146"/>
      <c r="AL862" s="146"/>
      <c r="AM862" s="146"/>
      <c r="AN862" s="146"/>
    </row>
    <row r="863" spans="30:40" hidden="1" x14ac:dyDescent="0.25">
      <c r="AD863" s="146"/>
      <c r="AE863" s="146"/>
      <c r="AF863" s="146"/>
      <c r="AG863" s="146"/>
      <c r="AH863" s="146"/>
      <c r="AI863" s="146"/>
      <c r="AJ863" s="146"/>
      <c r="AK863" s="146"/>
      <c r="AL863" s="146"/>
      <c r="AM863" s="146"/>
      <c r="AN863" s="146"/>
    </row>
    <row r="864" spans="30:40" hidden="1" x14ac:dyDescent="0.25">
      <c r="AD864" s="146"/>
      <c r="AE864" s="146"/>
      <c r="AF864" s="146"/>
      <c r="AG864" s="146"/>
      <c r="AH864" s="146"/>
      <c r="AI864" s="146"/>
      <c r="AJ864" s="146"/>
      <c r="AK864" s="146"/>
      <c r="AL864" s="146"/>
      <c r="AM864" s="146"/>
      <c r="AN864" s="146"/>
    </row>
    <row r="865" spans="30:40" hidden="1" x14ac:dyDescent="0.25">
      <c r="AD865" s="146"/>
      <c r="AE865" s="146"/>
      <c r="AF865" s="146"/>
      <c r="AG865" s="146"/>
      <c r="AH865" s="146"/>
      <c r="AI865" s="146"/>
      <c r="AJ865" s="146"/>
      <c r="AK865" s="146"/>
      <c r="AL865" s="146"/>
      <c r="AM865" s="146"/>
      <c r="AN865" s="146"/>
    </row>
    <row r="866" spans="30:40" hidden="1" x14ac:dyDescent="0.25">
      <c r="AD866" s="146"/>
      <c r="AE866" s="146"/>
      <c r="AF866" s="146"/>
      <c r="AG866" s="146"/>
      <c r="AH866" s="146"/>
      <c r="AI866" s="146"/>
      <c r="AJ866" s="146"/>
      <c r="AK866" s="146"/>
      <c r="AL866" s="146"/>
      <c r="AM866" s="146"/>
      <c r="AN866" s="146"/>
    </row>
    <row r="867" spans="30:40" hidden="1" x14ac:dyDescent="0.25">
      <c r="AD867" s="146"/>
      <c r="AE867" s="146"/>
      <c r="AF867" s="146"/>
      <c r="AG867" s="146"/>
      <c r="AH867" s="146"/>
      <c r="AI867" s="146"/>
      <c r="AJ867" s="146"/>
      <c r="AK867" s="146"/>
      <c r="AL867" s="146"/>
      <c r="AM867" s="146"/>
      <c r="AN867" s="146"/>
    </row>
    <row r="868" spans="30:40" hidden="1" x14ac:dyDescent="0.25">
      <c r="AD868" s="146"/>
      <c r="AE868" s="146"/>
      <c r="AF868" s="146"/>
      <c r="AG868" s="146"/>
      <c r="AH868" s="146"/>
      <c r="AI868" s="146"/>
      <c r="AJ868" s="146"/>
      <c r="AK868" s="146"/>
      <c r="AL868" s="146"/>
      <c r="AM868" s="146"/>
      <c r="AN868" s="146"/>
    </row>
    <row r="869" spans="30:40" hidden="1" x14ac:dyDescent="0.25">
      <c r="AD869" s="146"/>
      <c r="AE869" s="146"/>
      <c r="AF869" s="146"/>
      <c r="AG869" s="146"/>
      <c r="AH869" s="146"/>
      <c r="AI869" s="146"/>
      <c r="AJ869" s="146"/>
      <c r="AK869" s="146"/>
      <c r="AL869" s="146"/>
      <c r="AM869" s="146"/>
      <c r="AN869" s="146"/>
    </row>
    <row r="870" spans="30:40" hidden="1" x14ac:dyDescent="0.25">
      <c r="AD870" s="146"/>
      <c r="AE870" s="146"/>
      <c r="AF870" s="146"/>
      <c r="AG870" s="146"/>
      <c r="AH870" s="146"/>
      <c r="AI870" s="146"/>
      <c r="AJ870" s="146"/>
      <c r="AK870" s="146"/>
      <c r="AL870" s="146"/>
      <c r="AM870" s="146"/>
      <c r="AN870" s="146"/>
    </row>
    <row r="871" spans="30:40" hidden="1" x14ac:dyDescent="0.25">
      <c r="AD871" s="146"/>
      <c r="AE871" s="146"/>
      <c r="AF871" s="146"/>
      <c r="AG871" s="146"/>
      <c r="AH871" s="146"/>
      <c r="AI871" s="146"/>
      <c r="AJ871" s="146"/>
      <c r="AK871" s="146"/>
      <c r="AL871" s="146"/>
      <c r="AM871" s="146"/>
      <c r="AN871" s="146"/>
    </row>
    <row r="872" spans="30:40" hidden="1" x14ac:dyDescent="0.25">
      <c r="AD872" s="146"/>
      <c r="AE872" s="146"/>
      <c r="AF872" s="146"/>
      <c r="AG872" s="146"/>
      <c r="AH872" s="146"/>
      <c r="AI872" s="146"/>
      <c r="AJ872" s="146"/>
      <c r="AK872" s="146"/>
      <c r="AL872" s="146"/>
      <c r="AM872" s="146"/>
      <c r="AN872" s="146"/>
    </row>
    <row r="873" spans="30:40" hidden="1" x14ac:dyDescent="0.25">
      <c r="AD873" s="146"/>
      <c r="AE873" s="146"/>
      <c r="AF873" s="146"/>
      <c r="AG873" s="146"/>
      <c r="AH873" s="146"/>
      <c r="AI873" s="146"/>
      <c r="AJ873" s="146"/>
      <c r="AK873" s="146"/>
      <c r="AL873" s="146"/>
      <c r="AM873" s="146"/>
      <c r="AN873" s="146"/>
    </row>
    <row r="874" spans="30:40" hidden="1" x14ac:dyDescent="0.25">
      <c r="AD874" s="146"/>
      <c r="AE874" s="146"/>
      <c r="AF874" s="146"/>
      <c r="AG874" s="146"/>
      <c r="AH874" s="146"/>
      <c r="AI874" s="146"/>
      <c r="AJ874" s="146"/>
      <c r="AK874" s="146"/>
      <c r="AL874" s="146"/>
      <c r="AM874" s="146"/>
      <c r="AN874" s="146"/>
    </row>
    <row r="875" spans="30:40" hidden="1" x14ac:dyDescent="0.25">
      <c r="AD875" s="146"/>
      <c r="AE875" s="146"/>
      <c r="AF875" s="146"/>
      <c r="AG875" s="146"/>
      <c r="AH875" s="146"/>
      <c r="AI875" s="146"/>
      <c r="AJ875" s="146"/>
      <c r="AK875" s="146"/>
      <c r="AL875" s="146"/>
      <c r="AM875" s="146"/>
      <c r="AN875" s="146"/>
    </row>
    <row r="876" spans="30:40" hidden="1" x14ac:dyDescent="0.25">
      <c r="AD876" s="146"/>
      <c r="AE876" s="146"/>
      <c r="AF876" s="146"/>
      <c r="AG876" s="146"/>
      <c r="AH876" s="146"/>
      <c r="AI876" s="146"/>
      <c r="AJ876" s="146"/>
      <c r="AK876" s="146"/>
      <c r="AL876" s="146"/>
      <c r="AM876" s="146"/>
      <c r="AN876" s="146"/>
    </row>
    <row r="877" spans="30:40" hidden="1" x14ac:dyDescent="0.25">
      <c r="AD877" s="146"/>
      <c r="AE877" s="146"/>
      <c r="AF877" s="146"/>
      <c r="AG877" s="146"/>
      <c r="AH877" s="146"/>
      <c r="AI877" s="146"/>
      <c r="AJ877" s="146"/>
      <c r="AK877" s="146"/>
      <c r="AL877" s="146"/>
      <c r="AM877" s="146"/>
      <c r="AN877" s="146"/>
    </row>
    <row r="878" spans="30:40" hidden="1" x14ac:dyDescent="0.25">
      <c r="AD878" s="146"/>
      <c r="AE878" s="146"/>
      <c r="AF878" s="146"/>
      <c r="AG878" s="146"/>
      <c r="AH878" s="146"/>
      <c r="AI878" s="146"/>
      <c r="AJ878" s="146"/>
      <c r="AK878" s="146"/>
      <c r="AL878" s="146"/>
      <c r="AM878" s="146"/>
      <c r="AN878" s="146"/>
    </row>
    <row r="879" spans="30:40" hidden="1" x14ac:dyDescent="0.25">
      <c r="AD879" s="146"/>
      <c r="AE879" s="146"/>
      <c r="AF879" s="146"/>
      <c r="AG879" s="146"/>
      <c r="AH879" s="146"/>
      <c r="AI879" s="146"/>
      <c r="AJ879" s="146"/>
      <c r="AK879" s="146"/>
      <c r="AL879" s="146"/>
      <c r="AM879" s="146"/>
      <c r="AN879" s="146"/>
    </row>
    <row r="880" spans="30:40" hidden="1" x14ac:dyDescent="0.25">
      <c r="AD880" s="146"/>
      <c r="AE880" s="146"/>
      <c r="AF880" s="146"/>
      <c r="AG880" s="146"/>
      <c r="AH880" s="146"/>
      <c r="AI880" s="146"/>
      <c r="AJ880" s="146"/>
      <c r="AK880" s="146"/>
      <c r="AL880" s="146"/>
      <c r="AM880" s="146"/>
      <c r="AN880" s="146"/>
    </row>
    <row r="881" spans="30:40" hidden="1" x14ac:dyDescent="0.25">
      <c r="AD881" s="146"/>
      <c r="AE881" s="146"/>
      <c r="AF881" s="146"/>
      <c r="AG881" s="146"/>
      <c r="AH881" s="146"/>
      <c r="AI881" s="146"/>
      <c r="AJ881" s="146"/>
      <c r="AK881" s="146"/>
      <c r="AL881" s="146"/>
      <c r="AM881" s="146"/>
      <c r="AN881" s="146"/>
    </row>
    <row r="882" spans="30:40" hidden="1" x14ac:dyDescent="0.25">
      <c r="AD882" s="146"/>
      <c r="AE882" s="146"/>
      <c r="AF882" s="146"/>
      <c r="AG882" s="146"/>
      <c r="AH882" s="146"/>
      <c r="AI882" s="146"/>
      <c r="AJ882" s="146"/>
      <c r="AK882" s="146"/>
      <c r="AL882" s="146"/>
      <c r="AM882" s="146"/>
      <c r="AN882" s="146"/>
    </row>
    <row r="883" spans="30:40" hidden="1" x14ac:dyDescent="0.25">
      <c r="AD883" s="146"/>
      <c r="AE883" s="146"/>
      <c r="AF883" s="146"/>
      <c r="AG883" s="146"/>
      <c r="AH883" s="146"/>
      <c r="AI883" s="146"/>
      <c r="AJ883" s="146"/>
      <c r="AK883" s="146"/>
      <c r="AL883" s="146"/>
      <c r="AM883" s="146"/>
      <c r="AN883" s="146"/>
    </row>
    <row r="884" spans="30:40" hidden="1" x14ac:dyDescent="0.25">
      <c r="AD884" s="146"/>
      <c r="AE884" s="146"/>
      <c r="AF884" s="146"/>
      <c r="AG884" s="146"/>
      <c r="AH884" s="146"/>
      <c r="AI884" s="146"/>
      <c r="AJ884" s="146"/>
      <c r="AK884" s="146"/>
      <c r="AL884" s="146"/>
      <c r="AM884" s="146"/>
      <c r="AN884" s="146"/>
    </row>
    <row r="885" spans="30:40" hidden="1" x14ac:dyDescent="0.25">
      <c r="AD885" s="146"/>
      <c r="AE885" s="146"/>
      <c r="AF885" s="146"/>
      <c r="AG885" s="146"/>
      <c r="AH885" s="146"/>
      <c r="AI885" s="146"/>
      <c r="AJ885" s="146"/>
      <c r="AK885" s="146"/>
      <c r="AL885" s="146"/>
      <c r="AM885" s="146"/>
      <c r="AN885" s="146"/>
    </row>
    <row r="886" spans="30:40" hidden="1" x14ac:dyDescent="0.25">
      <c r="AD886" s="146"/>
      <c r="AE886" s="146"/>
      <c r="AF886" s="146"/>
      <c r="AG886" s="146"/>
      <c r="AH886" s="146"/>
      <c r="AI886" s="146"/>
      <c r="AJ886" s="146"/>
      <c r="AK886" s="146"/>
      <c r="AL886" s="146"/>
      <c r="AM886" s="146"/>
      <c r="AN886" s="146"/>
    </row>
    <row r="887" spans="30:40" hidden="1" x14ac:dyDescent="0.25">
      <c r="AD887" s="146"/>
      <c r="AE887" s="146"/>
      <c r="AF887" s="146"/>
      <c r="AG887" s="146"/>
      <c r="AH887" s="146"/>
      <c r="AI887" s="146"/>
      <c r="AJ887" s="146"/>
      <c r="AK887" s="146"/>
      <c r="AL887" s="146"/>
      <c r="AM887" s="146"/>
      <c r="AN887" s="146"/>
    </row>
    <row r="888" spans="30:40" hidden="1" x14ac:dyDescent="0.25">
      <c r="AD888" s="146"/>
      <c r="AE888" s="146"/>
      <c r="AF888" s="146"/>
      <c r="AG888" s="146"/>
      <c r="AH888" s="146"/>
      <c r="AI888" s="146"/>
      <c r="AJ888" s="146"/>
      <c r="AK888" s="146"/>
      <c r="AL888" s="146"/>
      <c r="AM888" s="146"/>
      <c r="AN888" s="146"/>
    </row>
    <row r="889" spans="30:40" hidden="1" x14ac:dyDescent="0.25">
      <c r="AD889" s="146"/>
      <c r="AE889" s="146"/>
      <c r="AF889" s="146"/>
      <c r="AG889" s="146"/>
      <c r="AH889" s="146"/>
      <c r="AI889" s="146"/>
      <c r="AJ889" s="146"/>
      <c r="AK889" s="146"/>
      <c r="AL889" s="146"/>
      <c r="AM889" s="146"/>
      <c r="AN889" s="146"/>
    </row>
    <row r="890" spans="30:40" hidden="1" x14ac:dyDescent="0.25">
      <c r="AD890" s="146"/>
      <c r="AE890" s="146"/>
      <c r="AF890" s="146"/>
      <c r="AG890" s="146"/>
      <c r="AH890" s="146"/>
      <c r="AI890" s="146"/>
      <c r="AJ890" s="146"/>
      <c r="AK890" s="146"/>
      <c r="AL890" s="146"/>
      <c r="AM890" s="146"/>
      <c r="AN890" s="146"/>
    </row>
    <row r="891" spans="30:40" hidden="1" x14ac:dyDescent="0.25">
      <c r="AD891" s="146"/>
      <c r="AE891" s="146"/>
      <c r="AF891" s="146"/>
      <c r="AG891" s="146"/>
      <c r="AH891" s="146"/>
      <c r="AI891" s="146"/>
      <c r="AJ891" s="146"/>
      <c r="AK891" s="146"/>
      <c r="AL891" s="146"/>
      <c r="AM891" s="146"/>
      <c r="AN891" s="146"/>
    </row>
    <row r="892" spans="30:40" hidden="1" x14ac:dyDescent="0.25">
      <c r="AD892" s="146"/>
      <c r="AE892" s="146"/>
      <c r="AF892" s="146"/>
      <c r="AG892" s="146"/>
      <c r="AH892" s="146"/>
      <c r="AI892" s="146"/>
      <c r="AJ892" s="146"/>
      <c r="AK892" s="146"/>
      <c r="AL892" s="146"/>
      <c r="AM892" s="146"/>
      <c r="AN892" s="146"/>
    </row>
    <row r="893" spans="30:40" hidden="1" x14ac:dyDescent="0.25">
      <c r="AD893" s="146"/>
      <c r="AE893" s="146"/>
      <c r="AF893" s="146"/>
      <c r="AG893" s="146"/>
      <c r="AH893" s="146"/>
      <c r="AI893" s="146"/>
      <c r="AJ893" s="146"/>
      <c r="AK893" s="146"/>
      <c r="AL893" s="146"/>
      <c r="AM893" s="146"/>
      <c r="AN893" s="146"/>
    </row>
    <row r="894" spans="30:40" hidden="1" x14ac:dyDescent="0.25">
      <c r="AD894" s="146"/>
      <c r="AE894" s="146"/>
      <c r="AF894" s="146"/>
      <c r="AG894" s="146"/>
      <c r="AH894" s="146"/>
      <c r="AI894" s="146"/>
      <c r="AJ894" s="146"/>
      <c r="AK894" s="146"/>
      <c r="AL894" s="146"/>
      <c r="AM894" s="146"/>
      <c r="AN894" s="146"/>
    </row>
    <row r="895" spans="30:40" hidden="1" x14ac:dyDescent="0.25">
      <c r="AD895" s="146"/>
      <c r="AE895" s="146"/>
      <c r="AF895" s="146"/>
      <c r="AG895" s="146"/>
      <c r="AH895" s="146"/>
      <c r="AI895" s="146"/>
      <c r="AJ895" s="146"/>
      <c r="AK895" s="146"/>
      <c r="AL895" s="146"/>
      <c r="AM895" s="146"/>
      <c r="AN895" s="146"/>
    </row>
    <row r="896" spans="30:40" hidden="1" x14ac:dyDescent="0.25">
      <c r="AD896" s="146"/>
      <c r="AE896" s="146"/>
      <c r="AF896" s="146"/>
      <c r="AG896" s="146"/>
      <c r="AH896" s="146"/>
      <c r="AI896" s="146"/>
      <c r="AJ896" s="146"/>
      <c r="AK896" s="146"/>
      <c r="AL896" s="146"/>
      <c r="AM896" s="146"/>
      <c r="AN896" s="146"/>
    </row>
    <row r="897" spans="30:40" hidden="1" x14ac:dyDescent="0.25">
      <c r="AD897" s="146"/>
      <c r="AK897" s="146"/>
      <c r="AL897" s="146"/>
      <c r="AM897" s="146"/>
      <c r="AN897" s="146"/>
    </row>
    <row r="898" spans="30:40" hidden="1" x14ac:dyDescent="0.25">
      <c r="AD898" s="146"/>
      <c r="AK898" s="146"/>
      <c r="AL898" s="146"/>
      <c r="AM898" s="146"/>
      <c r="AN898" s="146"/>
    </row>
    <row r="899" spans="30:40" hidden="1" x14ac:dyDescent="0.25">
      <c r="AD899" s="146"/>
      <c r="AK899" s="146"/>
      <c r="AL899" s="146"/>
      <c r="AM899" s="146"/>
      <c r="AN899" s="146"/>
    </row>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sheetData>
  <sheetProtection password="B65E" sheet="1" objects="1" scenarios="1"/>
  <dataConsolidate/>
  <mergeCells count="1276">
    <mergeCell ref="B544:B547"/>
    <mergeCell ref="C544:H544"/>
    <mergeCell ref="K544:K547"/>
    <mergeCell ref="L544:Q544"/>
    <mergeCell ref="T544:T547"/>
    <mergeCell ref="U544:AB544"/>
    <mergeCell ref="V545:V547"/>
    <mergeCell ref="W545:Y545"/>
    <mergeCell ref="Z545:AB545"/>
    <mergeCell ref="C545:C547"/>
    <mergeCell ref="D390:H390"/>
    <mergeCell ref="M390:Q390"/>
    <mergeCell ref="V390:AB390"/>
    <mergeCell ref="B392:B395"/>
    <mergeCell ref="C392:H392"/>
    <mergeCell ref="K392:K395"/>
    <mergeCell ref="E440:F440"/>
    <mergeCell ref="E441:F441"/>
    <mergeCell ref="E442:F442"/>
    <mergeCell ref="N440:O440"/>
    <mergeCell ref="N441:O441"/>
    <mergeCell ref="N442:O442"/>
    <mergeCell ref="V539:AB539"/>
    <mergeCell ref="D540:H540"/>
    <mergeCell ref="M540:Q540"/>
    <mergeCell ref="V540:AB540"/>
    <mergeCell ref="D541:H541"/>
    <mergeCell ref="M541:Q541"/>
    <mergeCell ref="V541:AB541"/>
    <mergeCell ref="B534:H534"/>
    <mergeCell ref="K534:Q534"/>
    <mergeCell ref="W532:X532"/>
    <mergeCell ref="M313:Q313"/>
    <mergeCell ref="V313:AB313"/>
    <mergeCell ref="W296:X296"/>
    <mergeCell ref="B306:H306"/>
    <mergeCell ref="K306:Q306"/>
    <mergeCell ref="T306:AB306"/>
    <mergeCell ref="T307:AB307"/>
    <mergeCell ref="N295:O295"/>
    <mergeCell ref="M312:Q312"/>
    <mergeCell ref="D309:H309"/>
    <mergeCell ref="M309:Q309"/>
    <mergeCell ref="V309:AB309"/>
    <mergeCell ref="W304:X304"/>
    <mergeCell ref="D310:H310"/>
    <mergeCell ref="M310:Q310"/>
    <mergeCell ref="V310:AB310"/>
    <mergeCell ref="V542:AB542"/>
    <mergeCell ref="T534:AB534"/>
    <mergeCell ref="T535:AB535"/>
    <mergeCell ref="D537:H537"/>
    <mergeCell ref="M537:Q537"/>
    <mergeCell ref="V537:AB537"/>
    <mergeCell ref="D538:H538"/>
    <mergeCell ref="M538:Q538"/>
    <mergeCell ref="N528:O528"/>
    <mergeCell ref="E528:F528"/>
    <mergeCell ref="T529:T532"/>
    <mergeCell ref="U529:U532"/>
    <mergeCell ref="V529:V532"/>
    <mergeCell ref="W529:X529"/>
    <mergeCell ref="W530:X530"/>
    <mergeCell ref="W531:X531"/>
    <mergeCell ref="E214:F214"/>
    <mergeCell ref="W212:X212"/>
    <mergeCell ref="E210:F210"/>
    <mergeCell ref="N210:O210"/>
    <mergeCell ref="W210:X210"/>
    <mergeCell ref="E211:F211"/>
    <mergeCell ref="N211:O211"/>
    <mergeCell ref="L165:L167"/>
    <mergeCell ref="M165:M167"/>
    <mergeCell ref="T164:T167"/>
    <mergeCell ref="U164:AB164"/>
    <mergeCell ref="W216:X216"/>
    <mergeCell ref="P165:Q165"/>
    <mergeCell ref="U165:U167"/>
    <mergeCell ref="V165:V167"/>
    <mergeCell ref="W165:Y165"/>
    <mergeCell ref="Z165:AB165"/>
    <mergeCell ref="N165:O165"/>
    <mergeCell ref="N215:O215"/>
    <mergeCell ref="E216:F216"/>
    <mergeCell ref="N216:O216"/>
    <mergeCell ref="E213:F213"/>
    <mergeCell ref="W669:X669"/>
    <mergeCell ref="W670:X670"/>
    <mergeCell ref="W671:X671"/>
    <mergeCell ref="W672:X672"/>
    <mergeCell ref="W673:X673"/>
    <mergeCell ref="W674:X674"/>
    <mergeCell ref="W675:X675"/>
    <mergeCell ref="T605:T608"/>
    <mergeCell ref="U605:U608"/>
    <mergeCell ref="V605:V608"/>
    <mergeCell ref="W605:X605"/>
    <mergeCell ref="W606:X606"/>
    <mergeCell ref="W516:X516"/>
    <mergeCell ref="W517:X517"/>
    <mergeCell ref="W518:X518"/>
    <mergeCell ref="W519:X519"/>
    <mergeCell ref="W520:X520"/>
    <mergeCell ref="W521:X521"/>
    <mergeCell ref="W522:X522"/>
    <mergeCell ref="W523:X523"/>
    <mergeCell ref="W524:X524"/>
    <mergeCell ref="W525:X525"/>
    <mergeCell ref="W526:X526"/>
    <mergeCell ref="W527:X527"/>
    <mergeCell ref="W528:X528"/>
    <mergeCell ref="W590:X590"/>
    <mergeCell ref="W607:X607"/>
    <mergeCell ref="W608:X608"/>
    <mergeCell ref="W668:X668"/>
    <mergeCell ref="W591:X591"/>
    <mergeCell ref="W592:X592"/>
    <mergeCell ref="V538:AB538"/>
    <mergeCell ref="W748:X748"/>
    <mergeCell ref="W749:X749"/>
    <mergeCell ref="W750:X750"/>
    <mergeCell ref="W751:X751"/>
    <mergeCell ref="W752:X752"/>
    <mergeCell ref="W753:X753"/>
    <mergeCell ref="W754:X754"/>
    <mergeCell ref="W755:X755"/>
    <mergeCell ref="W756:X756"/>
    <mergeCell ref="W819:X819"/>
    <mergeCell ref="W820:X820"/>
    <mergeCell ref="W821:X821"/>
    <mergeCell ref="W822:X822"/>
    <mergeCell ref="W823:X823"/>
    <mergeCell ref="W824:X824"/>
    <mergeCell ref="W825:X825"/>
    <mergeCell ref="W826:X826"/>
    <mergeCell ref="E522:F522"/>
    <mergeCell ref="N522:O522"/>
    <mergeCell ref="E524:F524"/>
    <mergeCell ref="N524:O524"/>
    <mergeCell ref="E525:F525"/>
    <mergeCell ref="V312:AB312"/>
    <mergeCell ref="D313:H313"/>
    <mergeCell ref="E300:F300"/>
    <mergeCell ref="N300:O300"/>
    <mergeCell ref="W290:X290"/>
    <mergeCell ref="W301:X301"/>
    <mergeCell ref="W302:X302"/>
    <mergeCell ref="W303:X303"/>
    <mergeCell ref="E288:F288"/>
    <mergeCell ref="N288:O288"/>
    <mergeCell ref="L317:L319"/>
    <mergeCell ref="M317:M319"/>
    <mergeCell ref="N317:O317"/>
    <mergeCell ref="W317:Y317"/>
    <mergeCell ref="Z317:AB317"/>
    <mergeCell ref="D311:H311"/>
    <mergeCell ref="M311:Q311"/>
    <mergeCell ref="V311:AB311"/>
    <mergeCell ref="D312:H312"/>
    <mergeCell ref="W293:X293"/>
    <mergeCell ref="W294:X294"/>
    <mergeCell ref="W295:X295"/>
    <mergeCell ref="W299:X299"/>
    <mergeCell ref="W300:X300"/>
    <mergeCell ref="D314:H314"/>
    <mergeCell ref="M314:Q314"/>
    <mergeCell ref="V314:AB314"/>
    <mergeCell ref="E299:F299"/>
    <mergeCell ref="N299:O299"/>
    <mergeCell ref="T301:T304"/>
    <mergeCell ref="U301:U304"/>
    <mergeCell ref="V301:V304"/>
    <mergeCell ref="D237:H237"/>
    <mergeCell ref="M237:Q237"/>
    <mergeCell ref="V237:AB237"/>
    <mergeCell ref="B230:H230"/>
    <mergeCell ref="K230:Q230"/>
    <mergeCell ref="T230:AB230"/>
    <mergeCell ref="T231:AB231"/>
    <mergeCell ref="D233:H233"/>
    <mergeCell ref="M233:Q233"/>
    <mergeCell ref="V233:AB233"/>
    <mergeCell ref="N218:O218"/>
    <mergeCell ref="E220:F220"/>
    <mergeCell ref="N220:O220"/>
    <mergeCell ref="E221:F221"/>
    <mergeCell ref="N221:O221"/>
    <mergeCell ref="E222:F222"/>
    <mergeCell ref="N222:O222"/>
    <mergeCell ref="W218:X218"/>
    <mergeCell ref="W219:X219"/>
    <mergeCell ref="W220:X220"/>
    <mergeCell ref="D234:H234"/>
    <mergeCell ref="M234:Q234"/>
    <mergeCell ref="V234:AB234"/>
    <mergeCell ref="D236:H236"/>
    <mergeCell ref="M236:Q236"/>
    <mergeCell ref="W221:X221"/>
    <mergeCell ref="W222:X222"/>
    <mergeCell ref="W223:X223"/>
    <mergeCell ref="W224:X224"/>
    <mergeCell ref="E219:F219"/>
    <mergeCell ref="E224:F224"/>
    <mergeCell ref="N219:O219"/>
    <mergeCell ref="W227:X227"/>
    <mergeCell ref="E217:F217"/>
    <mergeCell ref="N217:O217"/>
    <mergeCell ref="E218:F218"/>
    <mergeCell ref="D161:H161"/>
    <mergeCell ref="E212:F212"/>
    <mergeCell ref="N212:O212"/>
    <mergeCell ref="W211:X211"/>
    <mergeCell ref="T154:AB154"/>
    <mergeCell ref="T155:AB155"/>
    <mergeCell ref="D157:H157"/>
    <mergeCell ref="M157:Q157"/>
    <mergeCell ref="V157:AB157"/>
    <mergeCell ref="D158:H158"/>
    <mergeCell ref="M158:Q158"/>
    <mergeCell ref="V158:AB158"/>
    <mergeCell ref="D159:H159"/>
    <mergeCell ref="M159:Q159"/>
    <mergeCell ref="V159:AB159"/>
    <mergeCell ref="D160:H160"/>
    <mergeCell ref="M160:Q160"/>
    <mergeCell ref="V160:AB160"/>
    <mergeCell ref="E223:F223"/>
    <mergeCell ref="N223:O223"/>
    <mergeCell ref="T225:T228"/>
    <mergeCell ref="U225:U228"/>
    <mergeCell ref="V225:V228"/>
    <mergeCell ref="W228:X228"/>
    <mergeCell ref="N213:O213"/>
    <mergeCell ref="N214:O214"/>
    <mergeCell ref="W213:X213"/>
    <mergeCell ref="W150:X150"/>
    <mergeCell ref="W151:X151"/>
    <mergeCell ref="W152:X152"/>
    <mergeCell ref="E142:F142"/>
    <mergeCell ref="N142:O142"/>
    <mergeCell ref="W148:X148"/>
    <mergeCell ref="N143:O143"/>
    <mergeCell ref="N148:O148"/>
    <mergeCell ref="E148:F148"/>
    <mergeCell ref="T149:T152"/>
    <mergeCell ref="U149:U152"/>
    <mergeCell ref="V149:V152"/>
    <mergeCell ref="W149:X149"/>
    <mergeCell ref="B154:H154"/>
    <mergeCell ref="K154:Q154"/>
    <mergeCell ref="W225:X225"/>
    <mergeCell ref="W226:X226"/>
    <mergeCell ref="W214:X214"/>
    <mergeCell ref="W215:X215"/>
    <mergeCell ref="W217:X217"/>
    <mergeCell ref="N224:O224"/>
    <mergeCell ref="C165:C167"/>
    <mergeCell ref="D165:D167"/>
    <mergeCell ref="E165:F165"/>
    <mergeCell ref="G165:H165"/>
    <mergeCell ref="M161:Q161"/>
    <mergeCell ref="V161:AB161"/>
    <mergeCell ref="E215:F215"/>
    <mergeCell ref="W139:X139"/>
    <mergeCell ref="W140:X140"/>
    <mergeCell ref="W141:X141"/>
    <mergeCell ref="W142:X142"/>
    <mergeCell ref="D132:D133"/>
    <mergeCell ref="E132:F133"/>
    <mergeCell ref="M132:M133"/>
    <mergeCell ref="N132:O133"/>
    <mergeCell ref="U132:U133"/>
    <mergeCell ref="V132:V133"/>
    <mergeCell ref="W132:X133"/>
    <mergeCell ref="Y132:Z132"/>
    <mergeCell ref="AA132:AB132"/>
    <mergeCell ref="V82:AB82"/>
    <mergeCell ref="N138:O138"/>
    <mergeCell ref="D86:H86"/>
    <mergeCell ref="M86:Q86"/>
    <mergeCell ref="V89:V91"/>
    <mergeCell ref="W89:Y89"/>
    <mergeCell ref="T88:T91"/>
    <mergeCell ref="U88:AB88"/>
    <mergeCell ref="V86:AB86"/>
    <mergeCell ref="P89:Q89"/>
    <mergeCell ref="W74:X74"/>
    <mergeCell ref="W68:X68"/>
    <mergeCell ref="W69:X69"/>
    <mergeCell ref="W70:X70"/>
    <mergeCell ref="W71:X71"/>
    <mergeCell ref="W72:X72"/>
    <mergeCell ref="T73:T76"/>
    <mergeCell ref="W73:X73"/>
    <mergeCell ref="W75:X75"/>
    <mergeCell ref="W76:X76"/>
    <mergeCell ref="E70:F70"/>
    <mergeCell ref="D84:H84"/>
    <mergeCell ref="M84:Q84"/>
    <mergeCell ref="V84:AB84"/>
    <mergeCell ref="D85:H85"/>
    <mergeCell ref="M85:Q85"/>
    <mergeCell ref="V85:AB85"/>
    <mergeCell ref="D82:H82"/>
    <mergeCell ref="M82:Q82"/>
    <mergeCell ref="V81:AB81"/>
    <mergeCell ref="E147:F147"/>
    <mergeCell ref="N147:O147"/>
    <mergeCell ref="W147:X147"/>
    <mergeCell ref="W134:X134"/>
    <mergeCell ref="E136:F136"/>
    <mergeCell ref="E137:F137"/>
    <mergeCell ref="E138:F138"/>
    <mergeCell ref="E143:F143"/>
    <mergeCell ref="E135:F135"/>
    <mergeCell ref="N135:O135"/>
    <mergeCell ref="E139:F139"/>
    <mergeCell ref="N139:O139"/>
    <mergeCell ref="E140:F140"/>
    <mergeCell ref="N140:O140"/>
    <mergeCell ref="N136:O136"/>
    <mergeCell ref="N137:O137"/>
    <mergeCell ref="B131:B133"/>
    <mergeCell ref="C131:H131"/>
    <mergeCell ref="K131:K133"/>
    <mergeCell ref="L131:Q131"/>
    <mergeCell ref="T131:T133"/>
    <mergeCell ref="U131:AB131"/>
    <mergeCell ref="E141:F141"/>
    <mergeCell ref="N141:O141"/>
    <mergeCell ref="W143:X143"/>
    <mergeCell ref="W144:X144"/>
    <mergeCell ref="W145:X145"/>
    <mergeCell ref="W146:X146"/>
    <mergeCell ref="W135:X135"/>
    <mergeCell ref="W136:X136"/>
    <mergeCell ref="W137:X137"/>
    <mergeCell ref="W138:X138"/>
    <mergeCell ref="E63:F63"/>
    <mergeCell ref="E64:F64"/>
    <mergeCell ref="E69:F69"/>
    <mergeCell ref="B88:B91"/>
    <mergeCell ref="E144:F144"/>
    <mergeCell ref="N144:O144"/>
    <mergeCell ref="E145:F145"/>
    <mergeCell ref="N145:O145"/>
    <mergeCell ref="E146:F146"/>
    <mergeCell ref="N146:O146"/>
    <mergeCell ref="Z89:AB89"/>
    <mergeCell ref="E61:F61"/>
    <mergeCell ref="E62:F62"/>
    <mergeCell ref="E67:F67"/>
    <mergeCell ref="N60:O60"/>
    <mergeCell ref="N61:O61"/>
    <mergeCell ref="N62:O62"/>
    <mergeCell ref="N67:O67"/>
    <mergeCell ref="W60:X60"/>
    <mergeCell ref="W61:X61"/>
    <mergeCell ref="W62:X62"/>
    <mergeCell ref="W63:X63"/>
    <mergeCell ref="W64:X64"/>
    <mergeCell ref="W65:X65"/>
    <mergeCell ref="W66:X66"/>
    <mergeCell ref="E134:F134"/>
    <mergeCell ref="N134:O134"/>
    <mergeCell ref="W67:X67"/>
    <mergeCell ref="T78:AB78"/>
    <mergeCell ref="B78:H78"/>
    <mergeCell ref="K78:Q78"/>
    <mergeCell ref="E65:F65"/>
    <mergeCell ref="B2:H2"/>
    <mergeCell ref="D5:H5"/>
    <mergeCell ref="D6:H6"/>
    <mergeCell ref="D7:H7"/>
    <mergeCell ref="D8:H8"/>
    <mergeCell ref="D9:H9"/>
    <mergeCell ref="D10:H10"/>
    <mergeCell ref="B12:B15"/>
    <mergeCell ref="V9:AB9"/>
    <mergeCell ref="T2:AB2"/>
    <mergeCell ref="V5:AB5"/>
    <mergeCell ref="V6:AB6"/>
    <mergeCell ref="V7:AB7"/>
    <mergeCell ref="V8:AB8"/>
    <mergeCell ref="T3:AB3"/>
    <mergeCell ref="K2:Q2"/>
    <mergeCell ref="M5:Q5"/>
    <mergeCell ref="M6:Q6"/>
    <mergeCell ref="P13:Q13"/>
    <mergeCell ref="M7:Q7"/>
    <mergeCell ref="M8:Q8"/>
    <mergeCell ref="M9:Q9"/>
    <mergeCell ref="V10:AB10"/>
    <mergeCell ref="U12:AB12"/>
    <mergeCell ref="C13:C15"/>
    <mergeCell ref="M10:Q10"/>
    <mergeCell ref="D13:D15"/>
    <mergeCell ref="V13:V15"/>
    <mergeCell ref="M13:M15"/>
    <mergeCell ref="N13:O13"/>
    <mergeCell ref="W13:Y13"/>
    <mergeCell ref="Z13:AB13"/>
    <mergeCell ref="K12:K15"/>
    <mergeCell ref="L12:Q12"/>
    <mergeCell ref="L13:L15"/>
    <mergeCell ref="U55:AB55"/>
    <mergeCell ref="AA56:AB56"/>
    <mergeCell ref="Y56:Z56"/>
    <mergeCell ref="C12:H12"/>
    <mergeCell ref="E13:F13"/>
    <mergeCell ref="G13:H13"/>
    <mergeCell ref="C55:H55"/>
    <mergeCell ref="T12:T15"/>
    <mergeCell ref="E68:F68"/>
    <mergeCell ref="E66:F66"/>
    <mergeCell ref="N68:O68"/>
    <mergeCell ref="N63:O63"/>
    <mergeCell ref="N64:O64"/>
    <mergeCell ref="N65:O65"/>
    <mergeCell ref="N66:O66"/>
    <mergeCell ref="W58:X58"/>
    <mergeCell ref="W56:X57"/>
    <mergeCell ref="V56:V57"/>
    <mergeCell ref="U13:U15"/>
    <mergeCell ref="N59:O59"/>
    <mergeCell ref="E59:F59"/>
    <mergeCell ref="T55:T57"/>
    <mergeCell ref="K55:K57"/>
    <mergeCell ref="L55:Q55"/>
    <mergeCell ref="N58:O58"/>
    <mergeCell ref="E56:F57"/>
    <mergeCell ref="N56:O57"/>
    <mergeCell ref="U56:U57"/>
    <mergeCell ref="W59:X59"/>
    <mergeCell ref="D162:H162"/>
    <mergeCell ref="M162:Q162"/>
    <mergeCell ref="V162:AB162"/>
    <mergeCell ref="B164:B167"/>
    <mergeCell ref="C164:H164"/>
    <mergeCell ref="K164:K167"/>
    <mergeCell ref="L164:Q164"/>
    <mergeCell ref="B55:B57"/>
    <mergeCell ref="V73:V76"/>
    <mergeCell ref="N72:O72"/>
    <mergeCell ref="E72:F72"/>
    <mergeCell ref="C56:C57"/>
    <mergeCell ref="D56:D57"/>
    <mergeCell ref="M56:M57"/>
    <mergeCell ref="E58:F58"/>
    <mergeCell ref="N70:O70"/>
    <mergeCell ref="E71:F71"/>
    <mergeCell ref="U73:U76"/>
    <mergeCell ref="N69:O69"/>
    <mergeCell ref="N71:O71"/>
    <mergeCell ref="C89:C91"/>
    <mergeCell ref="D89:D91"/>
    <mergeCell ref="E89:F89"/>
    <mergeCell ref="G89:H89"/>
    <mergeCell ref="L89:L91"/>
    <mergeCell ref="M89:M91"/>
    <mergeCell ref="N89:O89"/>
    <mergeCell ref="C88:H88"/>
    <mergeCell ref="K88:K91"/>
    <mergeCell ref="L88:Q88"/>
    <mergeCell ref="U89:U91"/>
    <mergeCell ref="E60:F60"/>
    <mergeCell ref="G241:H241"/>
    <mergeCell ref="L241:L243"/>
    <mergeCell ref="M241:M243"/>
    <mergeCell ref="N241:O241"/>
    <mergeCell ref="P241:Q241"/>
    <mergeCell ref="U241:U243"/>
    <mergeCell ref="V241:V243"/>
    <mergeCell ref="W241:Y241"/>
    <mergeCell ref="Z241:AB241"/>
    <mergeCell ref="T79:AB79"/>
    <mergeCell ref="D83:H83"/>
    <mergeCell ref="M83:Q83"/>
    <mergeCell ref="V83:AB83"/>
    <mergeCell ref="D81:H81"/>
    <mergeCell ref="M81:Q81"/>
    <mergeCell ref="C132:C133"/>
    <mergeCell ref="B207:B209"/>
    <mergeCell ref="C207:H207"/>
    <mergeCell ref="K207:K209"/>
    <mergeCell ref="L207:Q207"/>
    <mergeCell ref="T207:T209"/>
    <mergeCell ref="U207:AB207"/>
    <mergeCell ref="C208:C209"/>
    <mergeCell ref="D208:D209"/>
    <mergeCell ref="E208:F209"/>
    <mergeCell ref="M208:M209"/>
    <mergeCell ref="N208:O209"/>
    <mergeCell ref="U208:U209"/>
    <mergeCell ref="V208:V209"/>
    <mergeCell ref="W208:X209"/>
    <mergeCell ref="Y208:Z208"/>
    <mergeCell ref="AA208:AB208"/>
    <mergeCell ref="D235:H235"/>
    <mergeCell ref="M235:Q235"/>
    <mergeCell ref="V235:AB235"/>
    <mergeCell ref="V236:AB236"/>
    <mergeCell ref="B283:B285"/>
    <mergeCell ref="C283:H283"/>
    <mergeCell ref="K283:K285"/>
    <mergeCell ref="L283:Q283"/>
    <mergeCell ref="T283:T285"/>
    <mergeCell ref="U283:AB283"/>
    <mergeCell ref="C284:C285"/>
    <mergeCell ref="D284:D285"/>
    <mergeCell ref="E284:F285"/>
    <mergeCell ref="M284:M285"/>
    <mergeCell ref="N284:O285"/>
    <mergeCell ref="U284:U285"/>
    <mergeCell ref="V284:V285"/>
    <mergeCell ref="W284:X285"/>
    <mergeCell ref="Y284:Z284"/>
    <mergeCell ref="AA284:AB284"/>
    <mergeCell ref="D238:H238"/>
    <mergeCell ref="M238:Q238"/>
    <mergeCell ref="V238:AB238"/>
    <mergeCell ref="B240:B243"/>
    <mergeCell ref="C240:H240"/>
    <mergeCell ref="K240:K243"/>
    <mergeCell ref="L240:Q240"/>
    <mergeCell ref="T240:T243"/>
    <mergeCell ref="U240:AB240"/>
    <mergeCell ref="C241:C243"/>
    <mergeCell ref="D241:D243"/>
    <mergeCell ref="E241:F241"/>
    <mergeCell ref="E286:F286"/>
    <mergeCell ref="N286:O286"/>
    <mergeCell ref="E293:F293"/>
    <mergeCell ref="N293:O293"/>
    <mergeCell ref="W286:X286"/>
    <mergeCell ref="E287:F287"/>
    <mergeCell ref="N287:O287"/>
    <mergeCell ref="E291:F291"/>
    <mergeCell ref="N291:O291"/>
    <mergeCell ref="E292:F292"/>
    <mergeCell ref="N292:O292"/>
    <mergeCell ref="E289:F289"/>
    <mergeCell ref="E290:F290"/>
    <mergeCell ref="N289:O289"/>
    <mergeCell ref="N290:O290"/>
    <mergeCell ref="N297:O297"/>
    <mergeCell ref="E298:F298"/>
    <mergeCell ref="N298:O298"/>
    <mergeCell ref="E295:F295"/>
    <mergeCell ref="W291:X291"/>
    <mergeCell ref="W292:X292"/>
    <mergeCell ref="W287:X287"/>
    <mergeCell ref="W288:X288"/>
    <mergeCell ref="W289:X289"/>
    <mergeCell ref="E294:F294"/>
    <mergeCell ref="N294:O294"/>
    <mergeCell ref="E296:F296"/>
    <mergeCell ref="N296:O296"/>
    <mergeCell ref="E297:F297"/>
    <mergeCell ref="W297:X297"/>
    <mergeCell ref="W298:X298"/>
    <mergeCell ref="B359:B361"/>
    <mergeCell ref="C359:H359"/>
    <mergeCell ref="K359:K361"/>
    <mergeCell ref="L359:Q359"/>
    <mergeCell ref="T359:T361"/>
    <mergeCell ref="U359:AB359"/>
    <mergeCell ref="C360:C361"/>
    <mergeCell ref="D360:D361"/>
    <mergeCell ref="E360:F361"/>
    <mergeCell ref="M360:M361"/>
    <mergeCell ref="N360:O361"/>
    <mergeCell ref="U360:U361"/>
    <mergeCell ref="V360:V361"/>
    <mergeCell ref="W360:X361"/>
    <mergeCell ref="Y360:Z360"/>
    <mergeCell ref="AA360:AB360"/>
    <mergeCell ref="B316:B319"/>
    <mergeCell ref="C316:H316"/>
    <mergeCell ref="K316:K319"/>
    <mergeCell ref="L316:Q316"/>
    <mergeCell ref="T316:T319"/>
    <mergeCell ref="U316:AB316"/>
    <mergeCell ref="C317:C319"/>
    <mergeCell ref="D317:D319"/>
    <mergeCell ref="E317:F317"/>
    <mergeCell ref="G317:H317"/>
    <mergeCell ref="P317:Q317"/>
    <mergeCell ref="U317:U319"/>
    <mergeCell ref="V317:V319"/>
    <mergeCell ref="E365:F365"/>
    <mergeCell ref="E364:F364"/>
    <mergeCell ref="N364:O364"/>
    <mergeCell ref="W363:X363"/>
    <mergeCell ref="W364:X364"/>
    <mergeCell ref="E362:F362"/>
    <mergeCell ref="N362:O362"/>
    <mergeCell ref="W362:X362"/>
    <mergeCell ref="E363:F363"/>
    <mergeCell ref="N363:O363"/>
    <mergeCell ref="E366:F366"/>
    <mergeCell ref="N365:O365"/>
    <mergeCell ref="N366:O366"/>
    <mergeCell ref="W365:X365"/>
    <mergeCell ref="N372:O372"/>
    <mergeCell ref="E373:F373"/>
    <mergeCell ref="N373:O373"/>
    <mergeCell ref="E369:F369"/>
    <mergeCell ref="N369:O369"/>
    <mergeCell ref="E367:F367"/>
    <mergeCell ref="N367:O367"/>
    <mergeCell ref="E368:F368"/>
    <mergeCell ref="N368:O368"/>
    <mergeCell ref="W371:X371"/>
    <mergeCell ref="W372:X372"/>
    <mergeCell ref="W373:X373"/>
    <mergeCell ref="W367:X367"/>
    <mergeCell ref="W368:X368"/>
    <mergeCell ref="W369:X369"/>
    <mergeCell ref="W370:X370"/>
    <mergeCell ref="W366:X366"/>
    <mergeCell ref="E374:F374"/>
    <mergeCell ref="N374:O374"/>
    <mergeCell ref="E371:F371"/>
    <mergeCell ref="N371:O371"/>
    <mergeCell ref="D387:H387"/>
    <mergeCell ref="M387:Q387"/>
    <mergeCell ref="V387:AB387"/>
    <mergeCell ref="D388:H388"/>
    <mergeCell ref="M388:Q388"/>
    <mergeCell ref="V388:AB388"/>
    <mergeCell ref="V377:V380"/>
    <mergeCell ref="W377:X377"/>
    <mergeCell ref="W378:X378"/>
    <mergeCell ref="W379:X379"/>
    <mergeCell ref="W380:X380"/>
    <mergeCell ref="E370:F370"/>
    <mergeCell ref="N370:O370"/>
    <mergeCell ref="E372:F372"/>
    <mergeCell ref="T377:T380"/>
    <mergeCell ref="W374:X374"/>
    <mergeCell ref="W375:X375"/>
    <mergeCell ref="W376:X376"/>
    <mergeCell ref="E375:F375"/>
    <mergeCell ref="N375:O375"/>
    <mergeCell ref="D389:H389"/>
    <mergeCell ref="M389:Q389"/>
    <mergeCell ref="V389:AB389"/>
    <mergeCell ref="B382:H382"/>
    <mergeCell ref="K382:Q382"/>
    <mergeCell ref="T382:AB382"/>
    <mergeCell ref="T383:AB383"/>
    <mergeCell ref="D385:H385"/>
    <mergeCell ref="M385:Q385"/>
    <mergeCell ref="V385:AB385"/>
    <mergeCell ref="D386:H386"/>
    <mergeCell ref="M386:Q386"/>
    <mergeCell ref="V386:AB386"/>
    <mergeCell ref="E376:F376"/>
    <mergeCell ref="N376:O376"/>
    <mergeCell ref="C393:C395"/>
    <mergeCell ref="D393:D395"/>
    <mergeCell ref="E393:F393"/>
    <mergeCell ref="G393:H393"/>
    <mergeCell ref="L393:L395"/>
    <mergeCell ref="M393:M395"/>
    <mergeCell ref="N393:O393"/>
    <mergeCell ref="P393:Q393"/>
    <mergeCell ref="U393:U395"/>
    <mergeCell ref="V393:V395"/>
    <mergeCell ref="W393:Y393"/>
    <mergeCell ref="Z393:AB393"/>
    <mergeCell ref="U377:U380"/>
    <mergeCell ref="L392:Q392"/>
    <mergeCell ref="T392:T395"/>
    <mergeCell ref="U392:AB392"/>
    <mergeCell ref="W438:X438"/>
    <mergeCell ref="E439:F439"/>
    <mergeCell ref="N439:O439"/>
    <mergeCell ref="E443:F443"/>
    <mergeCell ref="N443:O443"/>
    <mergeCell ref="E444:F444"/>
    <mergeCell ref="N444:O444"/>
    <mergeCell ref="B435:B437"/>
    <mergeCell ref="C435:H435"/>
    <mergeCell ref="K435:K437"/>
    <mergeCell ref="L435:Q435"/>
    <mergeCell ref="T435:T437"/>
    <mergeCell ref="U435:AB435"/>
    <mergeCell ref="C436:C437"/>
    <mergeCell ref="D436:D437"/>
    <mergeCell ref="E436:F437"/>
    <mergeCell ref="M436:M437"/>
    <mergeCell ref="N436:O437"/>
    <mergeCell ref="U436:U437"/>
    <mergeCell ref="V436:V437"/>
    <mergeCell ref="W436:X437"/>
    <mergeCell ref="Y436:Z436"/>
    <mergeCell ref="AA436:AB436"/>
    <mergeCell ref="W443:X443"/>
    <mergeCell ref="W444:X444"/>
    <mergeCell ref="E438:F438"/>
    <mergeCell ref="N438:O438"/>
    <mergeCell ref="W439:X439"/>
    <mergeCell ref="W440:X440"/>
    <mergeCell ref="W441:X441"/>
    <mergeCell ref="W442:X442"/>
    <mergeCell ref="T453:T456"/>
    <mergeCell ref="U453:U456"/>
    <mergeCell ref="V453:V456"/>
    <mergeCell ref="W453:X453"/>
    <mergeCell ref="W454:X454"/>
    <mergeCell ref="W455:X455"/>
    <mergeCell ref="W456:X456"/>
    <mergeCell ref="E445:F445"/>
    <mergeCell ref="N445:O445"/>
    <mergeCell ref="E446:F446"/>
    <mergeCell ref="N446:O446"/>
    <mergeCell ref="E448:F448"/>
    <mergeCell ref="N448:O448"/>
    <mergeCell ref="E449:F449"/>
    <mergeCell ref="N449:O449"/>
    <mergeCell ref="E450:F450"/>
    <mergeCell ref="N450:O450"/>
    <mergeCell ref="N447:O447"/>
    <mergeCell ref="W445:X445"/>
    <mergeCell ref="W446:X446"/>
    <mergeCell ref="W447:X447"/>
    <mergeCell ref="W448:X448"/>
    <mergeCell ref="W449:X449"/>
    <mergeCell ref="W450:X450"/>
    <mergeCell ref="W451:X451"/>
    <mergeCell ref="W452:X452"/>
    <mergeCell ref="E452:F452"/>
    <mergeCell ref="N452:O452"/>
    <mergeCell ref="E447:F447"/>
    <mergeCell ref="E451:F451"/>
    <mergeCell ref="N451:O451"/>
    <mergeCell ref="V463:AB463"/>
    <mergeCell ref="D464:H464"/>
    <mergeCell ref="M464:Q464"/>
    <mergeCell ref="V464:AB464"/>
    <mergeCell ref="D465:H465"/>
    <mergeCell ref="M465:Q465"/>
    <mergeCell ref="V465:AB465"/>
    <mergeCell ref="B458:H458"/>
    <mergeCell ref="K458:Q458"/>
    <mergeCell ref="T458:AB458"/>
    <mergeCell ref="T459:AB459"/>
    <mergeCell ref="D461:H461"/>
    <mergeCell ref="M461:Q461"/>
    <mergeCell ref="V461:AB461"/>
    <mergeCell ref="D462:H462"/>
    <mergeCell ref="M462:Q462"/>
    <mergeCell ref="V462:AB462"/>
    <mergeCell ref="V466:AB466"/>
    <mergeCell ref="B468:B471"/>
    <mergeCell ref="C468:H468"/>
    <mergeCell ref="K468:K471"/>
    <mergeCell ref="L468:Q468"/>
    <mergeCell ref="T468:T471"/>
    <mergeCell ref="U468:AB468"/>
    <mergeCell ref="C469:C471"/>
    <mergeCell ref="D469:D471"/>
    <mergeCell ref="E469:F469"/>
    <mergeCell ref="G469:H469"/>
    <mergeCell ref="L469:L471"/>
    <mergeCell ref="M469:M471"/>
    <mergeCell ref="N469:O469"/>
    <mergeCell ref="U469:U471"/>
    <mergeCell ref="V469:V471"/>
    <mergeCell ref="W469:Y469"/>
    <mergeCell ref="Z469:AB469"/>
    <mergeCell ref="P469:Q469"/>
    <mergeCell ref="W514:X514"/>
    <mergeCell ref="E515:F515"/>
    <mergeCell ref="N515:O515"/>
    <mergeCell ref="E519:F519"/>
    <mergeCell ref="N519:O519"/>
    <mergeCell ref="E520:F520"/>
    <mergeCell ref="N520:O520"/>
    <mergeCell ref="E516:F516"/>
    <mergeCell ref="E517:F517"/>
    <mergeCell ref="E518:F518"/>
    <mergeCell ref="E523:F523"/>
    <mergeCell ref="N516:O516"/>
    <mergeCell ref="N517:O517"/>
    <mergeCell ref="B511:B513"/>
    <mergeCell ref="C511:H511"/>
    <mergeCell ref="K511:K513"/>
    <mergeCell ref="L511:Q511"/>
    <mergeCell ref="T511:T513"/>
    <mergeCell ref="U511:AB511"/>
    <mergeCell ref="C512:C513"/>
    <mergeCell ref="D512:D513"/>
    <mergeCell ref="E512:F513"/>
    <mergeCell ref="M512:M513"/>
    <mergeCell ref="N512:O513"/>
    <mergeCell ref="U512:U513"/>
    <mergeCell ref="V512:V513"/>
    <mergeCell ref="W512:X513"/>
    <mergeCell ref="Y512:Z512"/>
    <mergeCell ref="AA512:AB512"/>
    <mergeCell ref="N518:O518"/>
    <mergeCell ref="N523:O523"/>
    <mergeCell ref="W515:X515"/>
    <mergeCell ref="B587:B589"/>
    <mergeCell ref="C587:H587"/>
    <mergeCell ref="K587:K589"/>
    <mergeCell ref="L587:Q587"/>
    <mergeCell ref="T587:T589"/>
    <mergeCell ref="U587:AB587"/>
    <mergeCell ref="C588:C589"/>
    <mergeCell ref="D588:D589"/>
    <mergeCell ref="E588:F589"/>
    <mergeCell ref="M588:M589"/>
    <mergeCell ref="N588:O589"/>
    <mergeCell ref="U588:U589"/>
    <mergeCell ref="V588:V589"/>
    <mergeCell ref="W588:X589"/>
    <mergeCell ref="Y588:Z588"/>
    <mergeCell ref="AA588:AB588"/>
    <mergeCell ref="E593:F593"/>
    <mergeCell ref="E592:F592"/>
    <mergeCell ref="N592:O592"/>
    <mergeCell ref="E590:F590"/>
    <mergeCell ref="N590:O590"/>
    <mergeCell ref="M621:M623"/>
    <mergeCell ref="N621:O621"/>
    <mergeCell ref="P621:Q621"/>
    <mergeCell ref="U621:U623"/>
    <mergeCell ref="D545:D547"/>
    <mergeCell ref="E545:F545"/>
    <mergeCell ref="G545:H545"/>
    <mergeCell ref="L545:L547"/>
    <mergeCell ref="M545:M547"/>
    <mergeCell ref="N545:O545"/>
    <mergeCell ref="W597:X597"/>
    <mergeCell ref="W598:X598"/>
    <mergeCell ref="W599:X599"/>
    <mergeCell ref="W600:X600"/>
    <mergeCell ref="W601:X601"/>
    <mergeCell ref="W602:X602"/>
    <mergeCell ref="P545:Q545"/>
    <mergeCell ref="U545:U547"/>
    <mergeCell ref="E591:F591"/>
    <mergeCell ref="N591:O591"/>
    <mergeCell ref="E595:F595"/>
    <mergeCell ref="N595:O595"/>
    <mergeCell ref="E596:F596"/>
    <mergeCell ref="N596:O596"/>
    <mergeCell ref="E594:F594"/>
    <mergeCell ref="N594:O594"/>
    <mergeCell ref="W593:X593"/>
    <mergeCell ref="W594:X594"/>
    <mergeCell ref="W595:X595"/>
    <mergeCell ref="W596:X596"/>
    <mergeCell ref="E666:F666"/>
    <mergeCell ref="N666:O666"/>
    <mergeCell ref="W666:X666"/>
    <mergeCell ref="E667:F667"/>
    <mergeCell ref="N667:O667"/>
    <mergeCell ref="E671:F671"/>
    <mergeCell ref="N671:O671"/>
    <mergeCell ref="E672:F672"/>
    <mergeCell ref="N672:O672"/>
    <mergeCell ref="B663:B665"/>
    <mergeCell ref="C663:H663"/>
    <mergeCell ref="K663:K665"/>
    <mergeCell ref="L663:Q663"/>
    <mergeCell ref="T663:T665"/>
    <mergeCell ref="U663:AB663"/>
    <mergeCell ref="C664:C665"/>
    <mergeCell ref="D664:D665"/>
    <mergeCell ref="E664:F665"/>
    <mergeCell ref="M664:M665"/>
    <mergeCell ref="N664:O665"/>
    <mergeCell ref="U664:U665"/>
    <mergeCell ref="V664:V665"/>
    <mergeCell ref="W664:X665"/>
    <mergeCell ref="Y664:Z664"/>
    <mergeCell ref="AA664:AB664"/>
    <mergeCell ref="E668:F668"/>
    <mergeCell ref="E669:F669"/>
    <mergeCell ref="E670:F670"/>
    <mergeCell ref="N668:O668"/>
    <mergeCell ref="N669:O669"/>
    <mergeCell ref="N670:O670"/>
    <mergeCell ref="W667:X667"/>
    <mergeCell ref="E679:F679"/>
    <mergeCell ref="N679:O679"/>
    <mergeCell ref="T681:T684"/>
    <mergeCell ref="U681:U684"/>
    <mergeCell ref="V681:V684"/>
    <mergeCell ref="W681:X681"/>
    <mergeCell ref="W682:X682"/>
    <mergeCell ref="W683:X683"/>
    <mergeCell ref="W684:X684"/>
    <mergeCell ref="E673:F673"/>
    <mergeCell ref="N673:O673"/>
    <mergeCell ref="E674:F674"/>
    <mergeCell ref="N674:O674"/>
    <mergeCell ref="E676:F676"/>
    <mergeCell ref="N676:O676"/>
    <mergeCell ref="E677:F677"/>
    <mergeCell ref="N677:O677"/>
    <mergeCell ref="E678:F678"/>
    <mergeCell ref="N678:O678"/>
    <mergeCell ref="E680:F680"/>
    <mergeCell ref="N680:O680"/>
    <mergeCell ref="W676:X676"/>
    <mergeCell ref="W677:X677"/>
    <mergeCell ref="W678:X678"/>
    <mergeCell ref="W679:X679"/>
    <mergeCell ref="W680:X680"/>
    <mergeCell ref="E675:F675"/>
    <mergeCell ref="N675:O675"/>
    <mergeCell ref="L697:L699"/>
    <mergeCell ref="M697:M699"/>
    <mergeCell ref="N697:O697"/>
    <mergeCell ref="P697:Q697"/>
    <mergeCell ref="U697:U699"/>
    <mergeCell ref="D691:H691"/>
    <mergeCell ref="M691:Q691"/>
    <mergeCell ref="V691:AB691"/>
    <mergeCell ref="D692:H692"/>
    <mergeCell ref="M692:Q692"/>
    <mergeCell ref="V692:AB692"/>
    <mergeCell ref="D693:H693"/>
    <mergeCell ref="M693:Q693"/>
    <mergeCell ref="V693:AB693"/>
    <mergeCell ref="B686:H686"/>
    <mergeCell ref="K686:Q686"/>
    <mergeCell ref="T686:AB686"/>
    <mergeCell ref="T687:AB687"/>
    <mergeCell ref="D689:H689"/>
    <mergeCell ref="M689:Q689"/>
    <mergeCell ref="V689:AB689"/>
    <mergeCell ref="D690:H690"/>
    <mergeCell ref="M690:Q690"/>
    <mergeCell ref="V690:AB690"/>
    <mergeCell ref="B739:B741"/>
    <mergeCell ref="C739:H739"/>
    <mergeCell ref="K739:K741"/>
    <mergeCell ref="L739:Q739"/>
    <mergeCell ref="T739:T741"/>
    <mergeCell ref="U739:AB739"/>
    <mergeCell ref="C740:C741"/>
    <mergeCell ref="D740:D741"/>
    <mergeCell ref="E740:F741"/>
    <mergeCell ref="M740:M741"/>
    <mergeCell ref="N740:O741"/>
    <mergeCell ref="U740:U741"/>
    <mergeCell ref="V740:V741"/>
    <mergeCell ref="W740:X741"/>
    <mergeCell ref="Y740:Z740"/>
    <mergeCell ref="AA740:AB740"/>
    <mergeCell ref="D694:H694"/>
    <mergeCell ref="M694:Q694"/>
    <mergeCell ref="V694:AB694"/>
    <mergeCell ref="B696:B699"/>
    <mergeCell ref="C696:H696"/>
    <mergeCell ref="K696:K699"/>
    <mergeCell ref="L696:Q696"/>
    <mergeCell ref="T696:T699"/>
    <mergeCell ref="U696:AB696"/>
    <mergeCell ref="V697:V699"/>
    <mergeCell ref="W697:Y697"/>
    <mergeCell ref="Z697:AB697"/>
    <mergeCell ref="C697:C699"/>
    <mergeCell ref="D697:D699"/>
    <mergeCell ref="E697:F697"/>
    <mergeCell ref="G697:H697"/>
    <mergeCell ref="N752:O752"/>
    <mergeCell ref="E753:F753"/>
    <mergeCell ref="N753:O753"/>
    <mergeCell ref="E754:F754"/>
    <mergeCell ref="N754:O754"/>
    <mergeCell ref="E742:F742"/>
    <mergeCell ref="N742:O742"/>
    <mergeCell ref="W742:X742"/>
    <mergeCell ref="E743:F743"/>
    <mergeCell ref="N743:O743"/>
    <mergeCell ref="E747:F747"/>
    <mergeCell ref="N747:O747"/>
    <mergeCell ref="E748:F748"/>
    <mergeCell ref="N748:O748"/>
    <mergeCell ref="E744:F744"/>
    <mergeCell ref="E745:F745"/>
    <mergeCell ref="E746:F746"/>
    <mergeCell ref="E751:F751"/>
    <mergeCell ref="N744:O744"/>
    <mergeCell ref="N745:O745"/>
    <mergeCell ref="N746:O746"/>
    <mergeCell ref="N751:O751"/>
    <mergeCell ref="W743:X743"/>
    <mergeCell ref="W744:X744"/>
    <mergeCell ref="W745:X745"/>
    <mergeCell ref="W746:X746"/>
    <mergeCell ref="W747:X747"/>
    <mergeCell ref="E749:F749"/>
    <mergeCell ref="N749:O749"/>
    <mergeCell ref="E750:F750"/>
    <mergeCell ref="N750:O750"/>
    <mergeCell ref="E752:F752"/>
    <mergeCell ref="B762:H762"/>
    <mergeCell ref="K762:Q762"/>
    <mergeCell ref="T762:AB762"/>
    <mergeCell ref="T763:AB763"/>
    <mergeCell ref="D765:H765"/>
    <mergeCell ref="M765:Q765"/>
    <mergeCell ref="V765:AB765"/>
    <mergeCell ref="D766:H766"/>
    <mergeCell ref="M766:Q766"/>
    <mergeCell ref="V766:AB766"/>
    <mergeCell ref="E755:F755"/>
    <mergeCell ref="N755:O755"/>
    <mergeCell ref="T757:T760"/>
    <mergeCell ref="U757:U760"/>
    <mergeCell ref="V757:V760"/>
    <mergeCell ref="W757:X757"/>
    <mergeCell ref="W758:X758"/>
    <mergeCell ref="W759:X759"/>
    <mergeCell ref="W760:X760"/>
    <mergeCell ref="E756:F756"/>
    <mergeCell ref="N756:O756"/>
    <mergeCell ref="B772:B775"/>
    <mergeCell ref="C772:H772"/>
    <mergeCell ref="K772:K775"/>
    <mergeCell ref="L772:Q772"/>
    <mergeCell ref="T772:T775"/>
    <mergeCell ref="U772:AB772"/>
    <mergeCell ref="D767:H767"/>
    <mergeCell ref="M767:Q767"/>
    <mergeCell ref="V767:AB767"/>
    <mergeCell ref="D768:H768"/>
    <mergeCell ref="M768:Q768"/>
    <mergeCell ref="V768:AB768"/>
    <mergeCell ref="D769:H769"/>
    <mergeCell ref="M769:Q769"/>
    <mergeCell ref="V769:AB769"/>
    <mergeCell ref="V773:V775"/>
    <mergeCell ref="W773:Y773"/>
    <mergeCell ref="Z773:AB773"/>
    <mergeCell ref="D770:H770"/>
    <mergeCell ref="M770:Q770"/>
    <mergeCell ref="V770:AB770"/>
    <mergeCell ref="C773:C775"/>
    <mergeCell ref="D773:D775"/>
    <mergeCell ref="E773:F773"/>
    <mergeCell ref="G773:H773"/>
    <mergeCell ref="L773:L775"/>
    <mergeCell ref="M773:M775"/>
    <mergeCell ref="N773:O773"/>
    <mergeCell ref="P773:Q773"/>
    <mergeCell ref="U773:U775"/>
    <mergeCell ref="E829:F829"/>
    <mergeCell ref="N829:O829"/>
    <mergeCell ref="E830:F830"/>
    <mergeCell ref="N830:O830"/>
    <mergeCell ref="E831:F831"/>
    <mergeCell ref="N831:O831"/>
    <mergeCell ref="T833:T836"/>
    <mergeCell ref="U833:U836"/>
    <mergeCell ref="V833:V836"/>
    <mergeCell ref="W834:X834"/>
    <mergeCell ref="W835:X835"/>
    <mergeCell ref="W836:X836"/>
    <mergeCell ref="W816:X817"/>
    <mergeCell ref="W818:X818"/>
    <mergeCell ref="W833:X833"/>
    <mergeCell ref="N832:O832"/>
    <mergeCell ref="E832:F832"/>
    <mergeCell ref="W828:X828"/>
    <mergeCell ref="W829:X829"/>
    <mergeCell ref="W830:X830"/>
    <mergeCell ref="W831:X831"/>
    <mergeCell ref="W832:X832"/>
    <mergeCell ref="W827:X827"/>
    <mergeCell ref="T815:T817"/>
    <mergeCell ref="U815:AB815"/>
    <mergeCell ref="Y816:Z816"/>
    <mergeCell ref="AA816:AB816"/>
    <mergeCell ref="U816:U817"/>
    <mergeCell ref="V816:V817"/>
    <mergeCell ref="B815:B817"/>
    <mergeCell ref="C815:H815"/>
    <mergeCell ref="K815:K817"/>
    <mergeCell ref="L815:Q815"/>
    <mergeCell ref="E825:F825"/>
    <mergeCell ref="N825:O825"/>
    <mergeCell ref="E826:F826"/>
    <mergeCell ref="N826:O826"/>
    <mergeCell ref="E828:F828"/>
    <mergeCell ref="N828:O828"/>
    <mergeCell ref="E819:F819"/>
    <mergeCell ref="N819:O819"/>
    <mergeCell ref="E823:F823"/>
    <mergeCell ref="N823:O823"/>
    <mergeCell ref="E824:F824"/>
    <mergeCell ref="N824:O824"/>
    <mergeCell ref="E818:F818"/>
    <mergeCell ref="N818:O818"/>
    <mergeCell ref="E820:F820"/>
    <mergeCell ref="E821:F821"/>
    <mergeCell ref="E822:F822"/>
    <mergeCell ref="E827:F827"/>
    <mergeCell ref="N820:O820"/>
    <mergeCell ref="N821:O821"/>
    <mergeCell ref="N822:O822"/>
    <mergeCell ref="N827:O827"/>
    <mergeCell ref="C816:C817"/>
    <mergeCell ref="D816:D817"/>
    <mergeCell ref="E816:F817"/>
    <mergeCell ref="M816:M817"/>
    <mergeCell ref="N816:O817"/>
    <mergeCell ref="AE32:AF34"/>
    <mergeCell ref="AG33:AG34"/>
    <mergeCell ref="AH33:AH34"/>
    <mergeCell ref="AG41:AG42"/>
    <mergeCell ref="AH41:AH42"/>
    <mergeCell ref="AG117:AG118"/>
    <mergeCell ref="AH117:AH118"/>
    <mergeCell ref="AE121:AF122"/>
    <mergeCell ref="AG121:AG122"/>
    <mergeCell ref="AH121:AH122"/>
    <mergeCell ref="AE108:AF110"/>
    <mergeCell ref="AG109:AG110"/>
    <mergeCell ref="AH109:AH110"/>
    <mergeCell ref="AG45:AG46"/>
    <mergeCell ref="AH45:AH46"/>
    <mergeCell ref="AE45:AF46"/>
    <mergeCell ref="AG345:AG346"/>
    <mergeCell ref="AH345:AH346"/>
    <mergeCell ref="AG269:AG270"/>
    <mergeCell ref="AH269:AH270"/>
    <mergeCell ref="AE273:AF274"/>
    <mergeCell ref="AG273:AG274"/>
    <mergeCell ref="AH273:AH274"/>
    <mergeCell ref="AG193:AG194"/>
    <mergeCell ref="AH193:AH194"/>
    <mergeCell ref="AE197:AF198"/>
    <mergeCell ref="AG197:AG198"/>
    <mergeCell ref="AH197:AH198"/>
    <mergeCell ref="AE184:AF186"/>
    <mergeCell ref="AG185:AG186"/>
    <mergeCell ref="AH185:AH186"/>
    <mergeCell ref="AE260:AF262"/>
    <mergeCell ref="AG801:AG802"/>
    <mergeCell ref="AH801:AH802"/>
    <mergeCell ref="AE805:AF806"/>
    <mergeCell ref="AG805:AG806"/>
    <mergeCell ref="AH805:AH806"/>
    <mergeCell ref="AG725:AG726"/>
    <mergeCell ref="AH725:AH726"/>
    <mergeCell ref="AE729:AF730"/>
    <mergeCell ref="AG729:AG730"/>
    <mergeCell ref="AH729:AH730"/>
    <mergeCell ref="AE716:AF718"/>
    <mergeCell ref="AG717:AG718"/>
    <mergeCell ref="AH717:AH718"/>
    <mergeCell ref="AE792:AF794"/>
    <mergeCell ref="AG793:AG794"/>
    <mergeCell ref="AH793:AH794"/>
    <mergeCell ref="AE564:AF566"/>
    <mergeCell ref="AG565:AG566"/>
    <mergeCell ref="AH565:AH566"/>
    <mergeCell ref="AG649:AG650"/>
    <mergeCell ref="AH649:AH650"/>
    <mergeCell ref="AE653:AF654"/>
    <mergeCell ref="AG653:AG654"/>
    <mergeCell ref="AH653:AH654"/>
    <mergeCell ref="AG573:AG574"/>
    <mergeCell ref="AH573:AH574"/>
    <mergeCell ref="AE577:AF578"/>
    <mergeCell ref="AG577:AG578"/>
    <mergeCell ref="AH577:AH578"/>
    <mergeCell ref="AE640:AF642"/>
    <mergeCell ref="AG641:AG642"/>
    <mergeCell ref="AH641:AH642"/>
    <mergeCell ref="AG489:AG490"/>
    <mergeCell ref="AH489:AH490"/>
    <mergeCell ref="K610:Q610"/>
    <mergeCell ref="T610:AB610"/>
    <mergeCell ref="T611:AB611"/>
    <mergeCell ref="D613:H613"/>
    <mergeCell ref="M613:Q613"/>
    <mergeCell ref="V613:AB613"/>
    <mergeCell ref="D614:H614"/>
    <mergeCell ref="M614:Q614"/>
    <mergeCell ref="V614:AB614"/>
    <mergeCell ref="D618:H618"/>
    <mergeCell ref="M618:Q618"/>
    <mergeCell ref="AE501:AF502"/>
    <mergeCell ref="AG501:AG502"/>
    <mergeCell ref="AH501:AH502"/>
    <mergeCell ref="AG261:AG262"/>
    <mergeCell ref="AH261:AH262"/>
    <mergeCell ref="AE336:AF338"/>
    <mergeCell ref="AG337:AG338"/>
    <mergeCell ref="AH337:AH338"/>
    <mergeCell ref="AE412:AF414"/>
    <mergeCell ref="AG413:AG414"/>
    <mergeCell ref="AH413:AH414"/>
    <mergeCell ref="AE349:AF350"/>
    <mergeCell ref="AG349:AG350"/>
    <mergeCell ref="AH349:AH350"/>
    <mergeCell ref="D616:H616"/>
    <mergeCell ref="M616:Q616"/>
    <mergeCell ref="V616:AB616"/>
    <mergeCell ref="E598:F598"/>
    <mergeCell ref="N598:O598"/>
    <mergeCell ref="AG421:AG422"/>
    <mergeCell ref="AH421:AH422"/>
    <mergeCell ref="AE425:AF426"/>
    <mergeCell ref="AG425:AG426"/>
    <mergeCell ref="AH425:AH426"/>
    <mergeCell ref="V618:AB618"/>
    <mergeCell ref="D615:H615"/>
    <mergeCell ref="M615:Q615"/>
    <mergeCell ref="V615:AB615"/>
    <mergeCell ref="W603:X603"/>
    <mergeCell ref="W604:X604"/>
    <mergeCell ref="E604:F604"/>
    <mergeCell ref="N604:O604"/>
    <mergeCell ref="E603:F603"/>
    <mergeCell ref="N603:O603"/>
    <mergeCell ref="E597:F597"/>
    <mergeCell ref="N597:O597"/>
    <mergeCell ref="N593:O593"/>
    <mergeCell ref="N525:O525"/>
    <mergeCell ref="E526:F526"/>
    <mergeCell ref="N526:O526"/>
    <mergeCell ref="E514:F514"/>
    <mergeCell ref="N514:O514"/>
    <mergeCell ref="E521:F521"/>
    <mergeCell ref="N521:O521"/>
    <mergeCell ref="D466:H466"/>
    <mergeCell ref="M466:Q466"/>
    <mergeCell ref="D463:H463"/>
    <mergeCell ref="M463:Q463"/>
    <mergeCell ref="AG497:AG498"/>
    <mergeCell ref="AH497:AH498"/>
    <mergeCell ref="AE488:AF490"/>
    <mergeCell ref="B620:B623"/>
    <mergeCell ref="C620:H620"/>
    <mergeCell ref="K620:K623"/>
    <mergeCell ref="D542:H542"/>
    <mergeCell ref="M542:Q542"/>
    <mergeCell ref="D539:H539"/>
    <mergeCell ref="M539:Q539"/>
    <mergeCell ref="E527:F527"/>
    <mergeCell ref="N527:O527"/>
    <mergeCell ref="D617:H617"/>
    <mergeCell ref="M617:Q617"/>
    <mergeCell ref="V617:AB617"/>
    <mergeCell ref="B610:H610"/>
    <mergeCell ref="E600:F600"/>
    <mergeCell ref="N600:O600"/>
    <mergeCell ref="E601:F601"/>
    <mergeCell ref="N601:O601"/>
    <mergeCell ref="E602:F602"/>
    <mergeCell ref="N602:O602"/>
    <mergeCell ref="E599:F599"/>
    <mergeCell ref="N599:O599"/>
    <mergeCell ref="L620:Q620"/>
    <mergeCell ref="T620:T623"/>
    <mergeCell ref="U620:AB620"/>
    <mergeCell ref="V621:V623"/>
    <mergeCell ref="W621:Y621"/>
    <mergeCell ref="Z621:AB621"/>
    <mergeCell ref="C621:C623"/>
    <mergeCell ref="D621:D623"/>
    <mergeCell ref="E621:F621"/>
    <mergeCell ref="G621:H621"/>
    <mergeCell ref="L621:L623"/>
  </mergeCells>
  <dataValidations count="4">
    <dataValidation type="decimal" operator="lessThan" allowBlank="1" showInputMessage="1" showErrorMessage="1" error="Není možné zadat hodnotu vyšší než je Cenový strop pro tuto položku." sqref="F113:F114" xr:uid="{00000000-0002-0000-0400-000000000000}">
      <formula1>K85</formula1>
    </dataValidation>
    <dataValidation type="decimal" operator="lessThan" allowBlank="1" showInputMessage="1" showErrorMessage="1" error="Není možné zadat hodnotu vyšší než je Cenový strop pro tuto položku._x000a_" sqref="H113:H114" xr:uid="{00000000-0002-0000-0400-000001000000}">
      <formula1>L85</formula1>
    </dataValidation>
    <dataValidation type="decimal" operator="lessThanOrEqual" allowBlank="1" showInputMessage="1" showErrorMessage="1" error="Není možné zadat hodnotu vyšší než je hodnota v pol. 9." sqref="H41 Q117 F193 H193 O193 Q193 F269 H269 Q269 F345 H345 Q345 F421 H421 O421 Q421 F497 H497 O497 Q497 F573 H573 Q573 F649 H649 O649 Q649 F725 H725 O725 Q725 F801 H801 O801 Q801 O573 O345 O269 H117 Q41 O41 F41 F117" xr:uid="{00000000-0002-0000-0400-000002000000}">
      <formula1>F40</formula1>
    </dataValidation>
    <dataValidation type="decimal" operator="lessThanOrEqual" allowBlank="1" showInputMessage="1" showErrorMessage="1" error="Není možné zadat hodnotu vyšší než je hodnota v pol. 9._x000a_" sqref="O117" xr:uid="{00000000-0002-0000-0400-000003000000}">
      <formula1>O116</formula1>
    </dataValidation>
  </dataValidations>
  <pageMargins left="0.7" right="0.7" top="0.78740157499999996" bottom="0.78740157499999996" header="0.3" footer="0.3"/>
  <pageSetup paperSize="9" scale="71" orientation="portrait" horizontalDpi="4294967293" verticalDpi="4294967293" r:id="rId1"/>
  <colBreaks count="3" manualBreakCount="3">
    <brk id="9" max="1048575" man="1"/>
    <brk id="18" max="1048575" man="1"/>
    <brk id="29" max="1048575" man="1"/>
  </colBreaks>
  <ignoredErrors>
    <ignoredError sqref="E17:G17 E22 E25:G25 E28:G28 E33:G33 N33:P33 W33:AB33 E109:G109 N109:P109 W109:AB109 Y113:Z113 W110:Y110 AB110 AB111:AB113 E185:G185 N185:P185 W185:Z185 E261:H261 N261:P261 W261:Z261 E337:G337 N337:P337 E413:G413 W565:Z565 N565:P565 E565:G565 N641:P641 E793:G793 N793:P793 W793:Z793 E717:G717 N717:P717 E641:G641 W641:Z641 W489:Z489 W717:Z717 E489:G489 N489:P489 W413:Z413 N413:P413 W337:Z337 Y111 Y112 G22" formulaRange="1"/>
    <ignoredError sqref="X28:Y28 X25:Y25 X22:Y22 AA22:AB22 X98:AB98 Y42 AB42 Y118:AB118 X101:AB101 Y99:Z100 X104:AB104 Y102 Y103 AB99:AB100 AB102 AB103 X180:AB180 Y190:Z190 Y194:AB194 X174:AB174 X177:AB177 X250:AB250 X253:AB253 X256:AB256 Y266:Z266 Y270:AB270 X554:AB554 X557:AB557 X560:AB560 Y570:Z570 Y574:AB574 Y726:AB726 Y798:Z798 Y802:AB802 X788:AB788 X785:AB785 X782:AB782 X633:AB633 Y646:Z646 Y650:AB650 X484:AB484 Y494:Z494 Y498:AB498 X630:AB630 X706:AB706 X709:AB709 X712:AB712 X478:AB478 Y418:Z418 X402:AB402 X326:AB326 Y342:Z342 X329:AB329 Y328 AB328 X332:AB332 Y330 AB330 Y331 AB331 Y346:AB346 Y343 AB343 Y344 AB344 X405:AB405 Y404 AB404 X408:AB408 Y406 AB406 Y407 AB407 Y422:AB422 Y419 AB419 Y420 AB420 X481:AB481 Y479 AB479 Y480 AB480 X636:AB636 Y634 AB634 Y635 AB635 AB722 Y38 AB38 Y114 AB114 Y722 AA25:AB25 AB23 AB24 AA28:AB28 AB26 AB27 AB190 AB266 Y327:Z327 AB327 AB342 Y403:Z403 AB403 AB418 AB494 AB570 AB646 AB798" formula="1"/>
  </ignoredErrors>
  <extLst>
    <ext xmlns:x14="http://schemas.microsoft.com/office/spreadsheetml/2009/9/main" uri="{78C0D931-6437-407d-A8EE-F0AAD7539E65}">
      <x14:conditionalFormattings>
        <x14:conditionalFormatting xmlns:xm="http://schemas.microsoft.com/office/excel/2006/main">
          <x14:cfRule type="expression" priority="257" id="{CE439D36-9E53-4208-AC50-BF19F9AF5A53}">
            <xm:f>Provozování!$E$37&lt;Postup!$E$31</xm:f>
            <x14:dxf>
              <font>
                <b/>
                <i val="0"/>
                <color rgb="FFFF0000"/>
              </font>
            </x14:dxf>
          </x14:cfRule>
          <xm:sqref>B74</xm:sqref>
        </x14:conditionalFormatting>
        <x14:conditionalFormatting xmlns:xm="http://schemas.microsoft.com/office/excel/2006/main">
          <x14:cfRule type="expression" priority="256" id="{E28807DF-D841-4409-A1FE-B953E9C2CD7B}">
            <xm:f>Provozování!$F$37&lt;Postup!$E$33</xm:f>
            <x14:dxf>
              <font>
                <b/>
                <i val="0"/>
                <color rgb="FFFF0000"/>
              </font>
            </x14:dxf>
          </x14:cfRule>
          <xm:sqref>B75</xm:sqref>
        </x14:conditionalFormatting>
        <x14:conditionalFormatting xmlns:xm="http://schemas.microsoft.com/office/excel/2006/main">
          <x14:cfRule type="expression" priority="179" id="{7946E2E0-7AF5-4D29-B994-1748BE1EB031}">
            <xm:f>Provozování!$O$37&lt;Postup!$F$31</xm:f>
            <x14:dxf>
              <font>
                <b/>
                <i val="0"/>
                <color rgb="FFFF0000"/>
              </font>
            </x14:dxf>
          </x14:cfRule>
          <xm:sqref>B150</xm:sqref>
        </x14:conditionalFormatting>
        <x14:conditionalFormatting xmlns:xm="http://schemas.microsoft.com/office/excel/2006/main">
          <x14:cfRule type="expression" priority="178" id="{48AB1E15-DEE0-44C0-A78B-F8AA9D080D7B}">
            <xm:f>Provozování!$P$37&lt;Postup!$F$33</xm:f>
            <x14:dxf>
              <font>
                <b/>
                <i val="0"/>
                <color rgb="FFFF0000"/>
              </font>
            </x14:dxf>
          </x14:cfRule>
          <xm:sqref>B151</xm:sqref>
        </x14:conditionalFormatting>
        <x14:conditionalFormatting xmlns:xm="http://schemas.microsoft.com/office/excel/2006/main">
          <x14:cfRule type="expression" priority="177" id="{8A25660D-841E-483C-AB27-8865D853ED5E}">
            <xm:f>Provozování!$T$37&lt;Postup!$G$31</xm:f>
            <x14:dxf>
              <font>
                <b/>
                <i val="0"/>
                <color rgb="FFFF0000"/>
              </font>
            </x14:dxf>
          </x14:cfRule>
          <xm:sqref>B226</xm:sqref>
        </x14:conditionalFormatting>
        <x14:conditionalFormatting xmlns:xm="http://schemas.microsoft.com/office/excel/2006/main">
          <x14:cfRule type="expression" priority="176" id="{7A54B5E6-243C-44FD-AA07-2EEB3841565B}">
            <xm:f>Provozování!$U$37&lt;Postup!$G$33</xm:f>
            <x14:dxf>
              <font>
                <b/>
                <i val="0"/>
                <color rgb="FFFF0000"/>
              </font>
            </x14:dxf>
          </x14:cfRule>
          <xm:sqref>B227</xm:sqref>
        </x14:conditionalFormatting>
        <x14:conditionalFormatting xmlns:xm="http://schemas.microsoft.com/office/excel/2006/main">
          <x14:cfRule type="expression" priority="175" id="{43F0CC58-5110-44C4-A164-05B4D7426B1C}">
            <xm:f>Provozování!$Y$37&lt;Postup!$H$31</xm:f>
            <x14:dxf>
              <font>
                <b/>
                <i val="0"/>
                <color rgb="FFFF0000"/>
              </font>
            </x14:dxf>
          </x14:cfRule>
          <xm:sqref>B302</xm:sqref>
        </x14:conditionalFormatting>
        <x14:conditionalFormatting xmlns:xm="http://schemas.microsoft.com/office/excel/2006/main">
          <x14:cfRule type="expression" priority="174" id="{F5ECDD3C-D634-48A2-9DA5-2C3561B59C61}">
            <xm:f>Provozování!$Z$37&lt;Postup!$H$33</xm:f>
            <x14:dxf>
              <font>
                <b/>
                <i val="0"/>
                <color rgb="FFFF0000"/>
              </font>
            </x14:dxf>
          </x14:cfRule>
          <xm:sqref>B303</xm:sqref>
        </x14:conditionalFormatting>
        <x14:conditionalFormatting xmlns:xm="http://schemas.microsoft.com/office/excel/2006/main">
          <x14:cfRule type="expression" priority="173" id="{ACF4247D-4960-432A-9CAD-F86E184C5E01}">
            <xm:f>Provozování!$AD$37&lt;Postup!$I$31</xm:f>
            <x14:dxf>
              <font>
                <b/>
                <i val="0"/>
                <color rgb="FFFF0000"/>
              </font>
            </x14:dxf>
          </x14:cfRule>
          <xm:sqref>B378</xm:sqref>
        </x14:conditionalFormatting>
        <x14:conditionalFormatting xmlns:xm="http://schemas.microsoft.com/office/excel/2006/main">
          <x14:cfRule type="expression" priority="172" id="{2912F12D-C4AF-40AF-8BE8-D269AD68287A}">
            <xm:f>Provozování!$AE$37&lt;Postup!$I$33</xm:f>
            <x14:dxf>
              <font>
                <b/>
                <i val="0"/>
                <color rgb="FFFF0000"/>
              </font>
            </x14:dxf>
          </x14:cfRule>
          <xm:sqref>B379</xm:sqref>
        </x14:conditionalFormatting>
        <x14:conditionalFormatting xmlns:xm="http://schemas.microsoft.com/office/excel/2006/main">
          <x14:cfRule type="expression" priority="171" id="{E0CED51F-C537-4971-B911-B7CF4B237297}">
            <xm:f>Provozování!$AI$37&lt;Postup!$J$31</xm:f>
            <x14:dxf>
              <font>
                <b/>
                <i val="0"/>
                <color rgb="FFFF0000"/>
              </font>
            </x14:dxf>
          </x14:cfRule>
          <xm:sqref>B454</xm:sqref>
        </x14:conditionalFormatting>
        <x14:conditionalFormatting xmlns:xm="http://schemas.microsoft.com/office/excel/2006/main">
          <x14:cfRule type="expression" priority="170" id="{8A37824F-861E-4979-9669-637F8D3DDEE7}">
            <xm:f>Provozování!$AJ$37&lt;Postup!$J$33</xm:f>
            <x14:dxf>
              <font>
                <b/>
                <i val="0"/>
                <color rgb="FFFF0000"/>
              </font>
            </x14:dxf>
          </x14:cfRule>
          <xm:sqref>B455</xm:sqref>
        </x14:conditionalFormatting>
        <x14:conditionalFormatting xmlns:xm="http://schemas.microsoft.com/office/excel/2006/main">
          <x14:cfRule type="expression" priority="169" id="{F152014E-7573-45BD-878D-C4AEEB678483}">
            <xm:f>Provozování!$AN$37&lt;Postup!$K$31</xm:f>
            <x14:dxf>
              <font>
                <b/>
                <i val="0"/>
                <color rgb="FFFF0000"/>
              </font>
            </x14:dxf>
          </x14:cfRule>
          <xm:sqref>B530</xm:sqref>
        </x14:conditionalFormatting>
        <x14:conditionalFormatting xmlns:xm="http://schemas.microsoft.com/office/excel/2006/main">
          <x14:cfRule type="expression" priority="168" id="{C452429C-1E38-4FBF-87DA-85D7B65D2F24}">
            <xm:f>Provozování!$AO$37&lt;Postup!$K$33</xm:f>
            <x14:dxf>
              <font>
                <b/>
                <i val="0"/>
                <color rgb="FFFF0000"/>
              </font>
            </x14:dxf>
          </x14:cfRule>
          <xm:sqref>B531</xm:sqref>
        </x14:conditionalFormatting>
        <x14:conditionalFormatting xmlns:xm="http://schemas.microsoft.com/office/excel/2006/main">
          <x14:cfRule type="expression" priority="167" id="{0E2DEF0E-7A70-4C0B-B7B8-68197E678A35}">
            <xm:f>Provozování!$AS$37&lt;Postup!$L$31</xm:f>
            <x14:dxf>
              <font>
                <b/>
                <i val="0"/>
                <color rgb="FFFF0000"/>
              </font>
            </x14:dxf>
          </x14:cfRule>
          <xm:sqref>B606</xm:sqref>
        </x14:conditionalFormatting>
        <x14:conditionalFormatting xmlns:xm="http://schemas.microsoft.com/office/excel/2006/main">
          <x14:cfRule type="expression" priority="166" id="{F4667D02-3548-4597-82E3-4E059D945CCF}">
            <xm:f>Provozování!$AT$37&lt;Postup!$L$33</xm:f>
            <x14:dxf>
              <font>
                <b/>
                <i val="0"/>
                <color rgb="FFFF0000"/>
              </font>
            </x14:dxf>
          </x14:cfRule>
          <xm:sqref>B607</xm:sqref>
        </x14:conditionalFormatting>
        <x14:conditionalFormatting xmlns:xm="http://schemas.microsoft.com/office/excel/2006/main">
          <x14:cfRule type="expression" priority="165" id="{94B8BFA7-3BB2-4BCB-8908-484C6FAAB119}">
            <xm:f>Provozování!$AX$37&lt;Postup!$M$31</xm:f>
            <x14:dxf>
              <font>
                <b/>
                <i val="0"/>
                <color rgb="FFFF0000"/>
              </font>
            </x14:dxf>
          </x14:cfRule>
          <xm:sqref>B682</xm:sqref>
        </x14:conditionalFormatting>
        <x14:conditionalFormatting xmlns:xm="http://schemas.microsoft.com/office/excel/2006/main">
          <x14:cfRule type="expression" priority="164" id="{D480EE09-8D01-48B9-923F-8F0D27D10ACD}">
            <xm:f>Provozování!$AY$37&lt;Postup!$M$33</xm:f>
            <x14:dxf>
              <font>
                <b/>
                <i val="0"/>
                <color rgb="FFFF0000"/>
              </font>
            </x14:dxf>
          </x14:cfRule>
          <xm:sqref>B683</xm:sqref>
        </x14:conditionalFormatting>
        <x14:conditionalFormatting xmlns:xm="http://schemas.microsoft.com/office/excel/2006/main">
          <x14:cfRule type="expression" priority="163" id="{E20CC385-61F9-4D26-8C85-260CE7171B95}">
            <xm:f>Provozování!$BC$37&lt;Postup!$N$31</xm:f>
            <x14:dxf>
              <font>
                <b/>
                <i val="0"/>
                <color rgb="FFFF0000"/>
              </font>
            </x14:dxf>
          </x14:cfRule>
          <xm:sqref>B758</xm:sqref>
        </x14:conditionalFormatting>
        <x14:conditionalFormatting xmlns:xm="http://schemas.microsoft.com/office/excel/2006/main">
          <x14:cfRule type="expression" priority="162" id="{40839146-015A-4734-9324-3569E6BBBEB0}">
            <xm:f>Provozování!$BD$37&lt;Postup!$N$33</xm:f>
            <x14:dxf>
              <font>
                <b/>
                <i val="0"/>
                <color rgb="FFFF0000"/>
              </font>
            </x14:dxf>
          </x14:cfRule>
          <xm:sqref>B759</xm:sqref>
        </x14:conditionalFormatting>
        <x14:conditionalFormatting xmlns:xm="http://schemas.microsoft.com/office/excel/2006/main">
          <x14:cfRule type="expression" priority="161" id="{AE137F1F-2559-4F3F-8B05-A3F74629251C}">
            <xm:f>Provozování!$BH$37&lt;Postup!$O$31</xm:f>
            <x14:dxf>
              <font>
                <b/>
                <i val="0"/>
                <color rgb="FFFF0000"/>
              </font>
            </x14:dxf>
          </x14:cfRule>
          <xm:sqref>B834</xm:sqref>
        </x14:conditionalFormatting>
        <x14:conditionalFormatting xmlns:xm="http://schemas.microsoft.com/office/excel/2006/main">
          <x14:cfRule type="expression" priority="160" id="{98F4C91C-EA26-49A3-9093-E2F43009A26C}">
            <xm:f>Provozování!$BI$37&lt;Postup!$O$33</xm:f>
            <x14:dxf>
              <font>
                <b/>
                <i val="0"/>
                <color rgb="FFFF0000"/>
              </font>
            </x14:dxf>
          </x14:cfRule>
          <xm:sqref>B835</xm:sqref>
        </x14:conditionalFormatting>
        <x14:conditionalFormatting xmlns:xm="http://schemas.microsoft.com/office/excel/2006/main">
          <x14:cfRule type="expression" priority="82" id="{BA37B5F7-183F-4A44-8CEE-28DC3283C592}">
            <xm:f>OR(Postup!$K$18="0",Postup!$K$18="0")</xm:f>
            <x14:dxf>
              <font>
                <color theme="1"/>
              </font>
              <fill>
                <patternFill>
                  <bgColor theme="0" tint="-0.24994659260841701"/>
                </patternFill>
              </fill>
            </x14:dxf>
          </x14:cfRule>
          <xm:sqref>B5:H71 K5:Q71 T5:AB76 B72:E72 G72:H72 K72:N72 P72:Q72 B81:AB152 B154:AB218 B219:E219 G219:N219 P219:AB219 B220:AB223 B224:E224 G224:N224 P224:AB224 B225:AB228 B230:AB299 B300:E300 G300:N300 P300:AB300 B301:AB304 B306:AB375 B376:E376 G376:N376 P376:AB376 B377:AB380 B382:AB446 B447:E447 G447:AB447 B448:AB451 B452:E452 G452:N452 P452:AB452 B453:AB456 B458:AB527 B528:E528 G528:N528 P528:AB528 B529:AB532 B534:AB603 B604:E604 G604:N604 P604:AB604 B605:AB608 B610:AB679 B680:E680 G680:N680 P680:AB680 B681:AB684 B686:AB755 B756:E756 G756:N756 P756:AB756 B757:AB760 B762:AB831 B832:E832 G832:N832 P832:AB832 B833:AB836</xm:sqref>
        </x14:conditionalFormatting>
        <x14:conditionalFormatting xmlns:xm="http://schemas.microsoft.com/office/excel/2006/main">
          <x14:cfRule type="expression" priority="92" id="{9A906F3C-C97B-41A0-96B3-C010162415F4}">
            <xm:f>$D$80&gt;Postup!$J$25</xm:f>
            <x14:dxf>
              <font>
                <color theme="1"/>
              </font>
              <fill>
                <patternFill>
                  <bgColor theme="0" tint="-0.24994659260841701"/>
                </patternFill>
              </fill>
            </x14:dxf>
          </x14:cfRule>
          <xm:sqref>B81:H148 K81:Q148 T81:AB152 AE108:AH118 AE121:AH123 AE124:AF124 AE125:AH128</xm:sqref>
        </x14:conditionalFormatting>
        <x14:conditionalFormatting xmlns:xm="http://schemas.microsoft.com/office/excel/2006/main">
          <x14:cfRule type="expression" priority="91" id="{C4211D86-DDC8-43A0-A039-C125C4D57166}">
            <xm:f>$D$156&gt;Postup!$J$25</xm:f>
            <x14:dxf>
              <font>
                <color theme="1"/>
              </font>
              <fill>
                <patternFill>
                  <bgColor theme="0" tint="-0.24994659260841701"/>
                </patternFill>
              </fill>
            </x14:dxf>
          </x14:cfRule>
          <xm:sqref>B157:H218 K157:Q218 T157:AB228 AE184:AH194 AE197:AH199 AE200:AF200 AE201:AH204 B219:E219 G219:H219 K219:N219 P219:Q219 B220:H223 K220:Q223 B224:E224 G224:H224 K224:N224 P224:Q224</xm:sqref>
        </x14:conditionalFormatting>
        <x14:conditionalFormatting xmlns:xm="http://schemas.microsoft.com/office/excel/2006/main">
          <x14:cfRule type="expression" priority="90" id="{6B915779-C34B-4392-BA21-86916AE12D6D}">
            <xm:f>$D$232&gt;Postup!$J$25</xm:f>
            <x14:dxf>
              <font>
                <color theme="1"/>
              </font>
              <fill>
                <patternFill>
                  <bgColor theme="0" tint="-0.24994659260841701"/>
                </patternFill>
              </fill>
            </x14:dxf>
          </x14:cfRule>
          <xm:sqref>B233:H299 K233:Q299 T233:AB304 AE260:AH270 AE273:AH275 AE276:AF276 AE277:AH280 B300:E300 G300:H300 K300:N300 P300:Q300</xm:sqref>
        </x14:conditionalFormatting>
        <x14:conditionalFormatting xmlns:xm="http://schemas.microsoft.com/office/excel/2006/main">
          <x14:cfRule type="expression" priority="89" id="{7F33DE16-94CC-4BD1-8644-88A7828B9E7D}">
            <xm:f>$D$308&gt;Postup!$J$25</xm:f>
            <x14:dxf>
              <font>
                <color theme="1"/>
              </font>
              <fill>
                <patternFill>
                  <bgColor theme="0" tint="-0.24994659260841701"/>
                </patternFill>
              </fill>
            </x14:dxf>
          </x14:cfRule>
          <xm:sqref>B309:H375 K309:Q375 T309:AB380 AE336:AH346 AE349:AH351 AE352:AF352 AE353:AH356 B376:E376 G376:H376 K376:N376 P376:Q376</xm:sqref>
        </x14:conditionalFormatting>
        <x14:conditionalFormatting xmlns:xm="http://schemas.microsoft.com/office/excel/2006/main">
          <x14:cfRule type="expression" priority="88" id="{EC6C2218-B427-4F77-85C3-C99C193300D0}">
            <xm:f>$D$384&gt;Postup!$J$25</xm:f>
            <x14:dxf>
              <font>
                <color theme="1"/>
              </font>
              <fill>
                <patternFill>
                  <bgColor theme="0" tint="-0.24994659260841701"/>
                </patternFill>
              </fill>
            </x14:dxf>
          </x14:cfRule>
          <xm:sqref>B385:H446 K385:Q451 T385:AB456 AE412:AH422 AE425:AH427 AE428:AF428 AE429:AH432 B447:E447 G447:H447 B448:H451 B452:E452 G452:H452 K452:N452 P452:Q452</xm:sqref>
        </x14:conditionalFormatting>
        <x14:conditionalFormatting xmlns:xm="http://schemas.microsoft.com/office/excel/2006/main">
          <x14:cfRule type="expression" priority="87" id="{B294FB5E-A51E-4F82-B5EA-91D75689EB67}">
            <xm:f>$D$460&gt;Postup!$J$25</xm:f>
            <x14:dxf>
              <font>
                <color theme="1"/>
              </font>
              <fill>
                <patternFill>
                  <bgColor theme="0" tint="-0.24994659260841701"/>
                </patternFill>
              </fill>
            </x14:dxf>
          </x14:cfRule>
          <xm:sqref>B461:H527 K461:Q527 T461:AB532 AE488:AH498 AE501:AH503 AE504:AF504 AE505:AH508 B528:E528 G528:H528 K528:N528 P528:Q528</xm:sqref>
        </x14:conditionalFormatting>
        <x14:conditionalFormatting xmlns:xm="http://schemas.microsoft.com/office/excel/2006/main">
          <x14:cfRule type="expression" priority="86" id="{68C4768D-5979-4BF6-B2DC-ABA204F54E76}">
            <xm:f>$D$536&gt;Postup!$J$25</xm:f>
            <x14:dxf>
              <font>
                <color theme="1"/>
              </font>
              <fill>
                <patternFill>
                  <bgColor theme="0" tint="-0.24994659260841701"/>
                </patternFill>
              </fill>
            </x14:dxf>
          </x14:cfRule>
          <xm:sqref>B537:H603 K537:Q603 T537:AB608 AE564:AH574 AE577:AH579 AE580:AF580 AE581:AH584 B604:E604 G604:H604 K604:N604 P604:Q604</xm:sqref>
        </x14:conditionalFormatting>
        <x14:conditionalFormatting xmlns:xm="http://schemas.microsoft.com/office/excel/2006/main">
          <x14:cfRule type="expression" priority="85" id="{019F83AC-7A1E-4C81-BE2B-1245B2DB2C86}">
            <xm:f>$D$612&gt;Postup!$J$25</xm:f>
            <x14:dxf>
              <font>
                <color theme="1"/>
              </font>
              <fill>
                <patternFill>
                  <bgColor theme="0" tint="-0.24994659260841701"/>
                </patternFill>
              </fill>
            </x14:dxf>
          </x14:cfRule>
          <xm:sqref>B613:H679 K613:Q679 T613:AB684 AE640:AH650 AE653:AH655 AE656:AF656 AE657:AH660 B680:E680 G680:H680 K680:N680 P680:Q680</xm:sqref>
        </x14:conditionalFormatting>
        <x14:conditionalFormatting xmlns:xm="http://schemas.microsoft.com/office/excel/2006/main">
          <x14:cfRule type="expression" priority="84" id="{B0C37031-496C-4975-8670-797D25BB58BF}">
            <xm:f>$D$688&gt;Postup!$J$25</xm:f>
            <x14:dxf>
              <font>
                <color theme="1"/>
              </font>
              <fill>
                <patternFill>
                  <bgColor theme="0" tint="-0.24994659260841701"/>
                </patternFill>
              </fill>
            </x14:dxf>
          </x14:cfRule>
          <xm:sqref>B689:H755 K689:Q755 T689:AB760 AE716:AH726 AE729:AH731 AE732:AF732 AE733:AH736 B756:E756 G756:H756 K756:N756 P756:Q756</xm:sqref>
        </x14:conditionalFormatting>
        <x14:conditionalFormatting xmlns:xm="http://schemas.microsoft.com/office/excel/2006/main">
          <x14:cfRule type="expression" priority="83" id="{0C56A552-57FC-421A-8722-32C8F2AC9030}">
            <xm:f>$D$764&gt;Postup!$J$25</xm:f>
            <x14:dxf>
              <font>
                <color theme="1"/>
              </font>
              <fill>
                <patternFill>
                  <bgColor theme="0" tint="-0.24994659260841701"/>
                </patternFill>
              </fill>
            </x14:dxf>
          </x14:cfRule>
          <xm:sqref>B765:H831 K765:Q831 T765:AB836 AE792:AH802 B832:E832 G832:H832 K832:N832 P832:Q832</xm:sqref>
        </x14:conditionalFormatting>
        <x14:conditionalFormatting xmlns:xm="http://schemas.microsoft.com/office/excel/2006/main">
          <x14:cfRule type="expression" priority="159" id="{7545E254-6028-422D-A902-241B235BA96B}">
            <xm:f>Provozování!$E$36&lt;Postup!$E$31</xm:f>
            <x14:dxf>
              <font>
                <b/>
                <i val="0"/>
                <color rgb="FFFF0000"/>
              </font>
            </x14:dxf>
          </x14:cfRule>
          <xm:sqref>E605</xm:sqref>
        </x14:conditionalFormatting>
        <x14:conditionalFormatting xmlns:xm="http://schemas.microsoft.com/office/excel/2006/main">
          <x14:cfRule type="expression" priority="158" id="{B4C59F40-B3CD-412E-A98A-1290F3108744}">
            <xm:f>Provozování!$F$36&lt;Postup!$E$33</xm:f>
            <x14:dxf>
              <font>
                <b/>
                <i val="0"/>
                <color rgb="FFFF0000"/>
              </font>
            </x14:dxf>
          </x14:cfRule>
          <xm:sqref>E606</xm:sqref>
        </x14:conditionalFormatting>
        <x14:conditionalFormatting xmlns:xm="http://schemas.microsoft.com/office/excel/2006/main">
          <x14:cfRule type="expression" priority="124" id="{1F3F8F5E-9157-424D-8534-7C3B916FB737}">
            <xm:f>Postup!$K$21="2"</xm:f>
            <x14:dxf>
              <font>
                <color theme="1"/>
              </font>
              <fill>
                <patternFill>
                  <bgColor theme="0" tint="-0.24994659260841701"/>
                </patternFill>
              </fill>
            </x14:dxf>
          </x14:cfRule>
          <xm:sqref>E13:F53 N13:O53 W13:Y53 G56:G72 P56:P72 Y56:Z76</xm:sqref>
        </x14:conditionalFormatting>
        <x14:conditionalFormatting xmlns:xm="http://schemas.microsoft.com/office/excel/2006/main">
          <x14:cfRule type="expression" priority="113" id="{C0E808AD-C4DF-4722-8CB9-56BA2EBF55E0}">
            <xm:f>Postup!$K$21="2"</xm:f>
            <x14:dxf>
              <font>
                <color theme="1"/>
              </font>
              <fill>
                <patternFill>
                  <bgColor theme="0" tint="-0.24994659260841701"/>
                </patternFill>
              </fill>
            </x14:dxf>
          </x14:cfRule>
          <xm:sqref>E89:F129 N89:O129 W89:Y129 G132:G148 P132:P148 Y132:Z152</xm:sqref>
        </x14:conditionalFormatting>
        <x14:conditionalFormatting xmlns:xm="http://schemas.microsoft.com/office/excel/2006/main">
          <x14:cfRule type="expression" priority="112" id="{EF927E23-06E5-4ABE-B3AB-A66BBA810983}">
            <xm:f>Postup!$K$21="2"</xm:f>
            <x14:dxf>
              <font>
                <color theme="1"/>
              </font>
              <fill>
                <patternFill>
                  <bgColor theme="0" tint="-0.24994659260841701"/>
                </patternFill>
              </fill>
            </x14:dxf>
          </x14:cfRule>
          <xm:sqref>E165:F205 N165:O205 W165:Y205 G208:G224 P208:P224 Y208:Z228</xm:sqref>
        </x14:conditionalFormatting>
        <x14:conditionalFormatting xmlns:xm="http://schemas.microsoft.com/office/excel/2006/main">
          <x14:cfRule type="expression" priority="111" id="{53FD701D-16A3-4001-85A2-9839F7412084}">
            <xm:f>Postup!$K$21="2"</xm:f>
            <x14:dxf>
              <font>
                <color theme="1"/>
              </font>
              <fill>
                <patternFill>
                  <bgColor theme="0" tint="-0.24994659260841701"/>
                </patternFill>
              </fill>
            </x14:dxf>
          </x14:cfRule>
          <xm:sqref>E241:F281 N241:O281 W241:Y281 G284:G300 P284:P300 Y284:Z304</xm:sqref>
        </x14:conditionalFormatting>
        <x14:conditionalFormatting xmlns:xm="http://schemas.microsoft.com/office/excel/2006/main">
          <x14:cfRule type="expression" priority="110" id="{60210431-26B9-428E-B2D3-9E1F81454BB8}">
            <xm:f>Postup!$K$21="2"</xm:f>
            <x14:dxf>
              <font>
                <color theme="1"/>
              </font>
              <fill>
                <patternFill>
                  <bgColor theme="0" tint="-0.24994659260841701"/>
                </patternFill>
              </fill>
            </x14:dxf>
          </x14:cfRule>
          <xm:sqref>E317:F357 N317:O357 W317:Y357 G360:G376 P360:P376 Y360:Z380</xm:sqref>
        </x14:conditionalFormatting>
        <x14:conditionalFormatting xmlns:xm="http://schemas.microsoft.com/office/excel/2006/main">
          <x14:cfRule type="expression" priority="109" id="{BF7C739C-8566-4B2B-9F3C-6997D67F793F}">
            <xm:f>Postup!$K$21="2"</xm:f>
            <x14:dxf>
              <font>
                <color theme="1"/>
              </font>
              <fill>
                <patternFill>
                  <bgColor theme="0" tint="-0.24994659260841701"/>
                </patternFill>
              </fill>
            </x14:dxf>
          </x14:cfRule>
          <xm:sqref>E393:F433 N393:O433 W393:Y434 G436:G452 P436:P452 Y436:Z456</xm:sqref>
        </x14:conditionalFormatting>
        <x14:conditionalFormatting xmlns:xm="http://schemas.microsoft.com/office/excel/2006/main">
          <x14:cfRule type="expression" priority="108" id="{BEF7CB41-A52B-46BE-9B67-18A5F070EAB9}">
            <xm:f>Postup!$K$21="2"</xm:f>
            <x14:dxf>
              <font>
                <color theme="1"/>
              </font>
              <fill>
                <patternFill>
                  <bgColor theme="0" tint="-0.24994659260841701"/>
                </patternFill>
              </fill>
            </x14:dxf>
          </x14:cfRule>
          <xm:sqref>E469:F509 N469:O509 W469:Y509 G512:G528 P512:P528 Y512:Z532</xm:sqref>
        </x14:conditionalFormatting>
        <x14:conditionalFormatting xmlns:xm="http://schemas.microsoft.com/office/excel/2006/main">
          <x14:cfRule type="expression" priority="107" id="{8CA5EB32-FDCA-42DD-BAD0-1C96A764F72A}">
            <xm:f>Postup!$K$21="2"</xm:f>
            <x14:dxf>
              <font>
                <color theme="1"/>
              </font>
              <fill>
                <patternFill>
                  <bgColor theme="0" tint="-0.24994659260841701"/>
                </patternFill>
              </fill>
            </x14:dxf>
          </x14:cfRule>
          <xm:sqref>E545:F585 N545:O585 W545:Y585 G588:G604 P588:P604 Y588:Z608</xm:sqref>
        </x14:conditionalFormatting>
        <x14:conditionalFormatting xmlns:xm="http://schemas.microsoft.com/office/excel/2006/main">
          <x14:cfRule type="expression" priority="106" id="{00546056-90C8-44AD-8992-730A0A070694}">
            <xm:f>Postup!$K$21="2"</xm:f>
            <x14:dxf>
              <font>
                <color theme="1"/>
              </font>
              <fill>
                <patternFill>
                  <bgColor theme="0" tint="-0.24994659260841701"/>
                </patternFill>
              </fill>
            </x14:dxf>
          </x14:cfRule>
          <xm:sqref>E621:F661 N621:O661 W621:Y661 G664:G680 P664:P680 Y664:Z684</xm:sqref>
        </x14:conditionalFormatting>
        <x14:conditionalFormatting xmlns:xm="http://schemas.microsoft.com/office/excel/2006/main">
          <x14:cfRule type="expression" priority="105" id="{BFDE5D74-0844-4C60-9AAA-C7866BB2ED65}">
            <xm:f>Postup!$K$21="2"</xm:f>
            <x14:dxf>
              <font>
                <color theme="1"/>
              </font>
              <fill>
                <patternFill>
                  <bgColor theme="0" tint="-0.24994659260841701"/>
                </patternFill>
              </fill>
            </x14:dxf>
          </x14:cfRule>
          <xm:sqref>E697:F737 N697:O737 W697:Y737 G740:G756 P740:P756 Y740:Z760</xm:sqref>
        </x14:conditionalFormatting>
        <x14:conditionalFormatting xmlns:xm="http://schemas.microsoft.com/office/excel/2006/main">
          <x14:cfRule type="expression" priority="104" id="{33DAF500-5376-40DB-B9BE-0CC260786CB7}">
            <xm:f>Postup!$K$21="2"</xm:f>
            <x14:dxf>
              <font>
                <color theme="1"/>
              </font>
              <fill>
                <patternFill>
                  <bgColor theme="0" tint="-0.24994659260841701"/>
                </patternFill>
              </fill>
            </x14:dxf>
          </x14:cfRule>
          <xm:sqref>E773:F813 N773:O813 W773:Y813 G816:G832 P816:P832 Y816:Z836</xm:sqref>
        </x14:conditionalFormatting>
        <x14:conditionalFormatting xmlns:xm="http://schemas.microsoft.com/office/excel/2006/main">
          <x14:cfRule type="expression" priority="125" id="{3311EDC0-5831-4DD4-A105-5D6DA1DE3AAA}">
            <xm:f>Postup!$K$21="1"</xm:f>
            <x14:dxf>
              <font>
                <color theme="1"/>
              </font>
              <fill>
                <patternFill>
                  <bgColor theme="0" tint="-0.24994659260841701"/>
                </patternFill>
              </fill>
            </x14:dxf>
          </x14:cfRule>
          <xm:sqref>G13:H53 P13:Q53 Z13:AB53 H56:H72 Q56:Q72 AA56:AB76</xm:sqref>
        </x14:conditionalFormatting>
        <x14:conditionalFormatting xmlns:xm="http://schemas.microsoft.com/office/excel/2006/main">
          <x14:cfRule type="expression" priority="123" id="{0B3820E5-44F9-48D3-BA78-A525D39AC42E}">
            <xm:f>Postup!$K$21="1"</xm:f>
            <x14:dxf>
              <font>
                <color theme="1"/>
              </font>
              <fill>
                <patternFill>
                  <bgColor theme="0" tint="-0.24994659260841701"/>
                </patternFill>
              </fill>
            </x14:dxf>
          </x14:cfRule>
          <xm:sqref>G89:H129 P89:Q129 Z89:AB129 H132:H148 Q132:Q148 AA132:AB152</xm:sqref>
        </x14:conditionalFormatting>
        <x14:conditionalFormatting xmlns:xm="http://schemas.microsoft.com/office/excel/2006/main">
          <x14:cfRule type="expression" priority="122" id="{84AFED83-6E81-4C91-A5F0-EAC15966A422}">
            <xm:f>Postup!$K$21="1"</xm:f>
            <x14:dxf>
              <font>
                <color theme="1"/>
              </font>
              <fill>
                <patternFill>
                  <bgColor theme="0" tint="-0.24994659260841701"/>
                </patternFill>
              </fill>
            </x14:dxf>
          </x14:cfRule>
          <xm:sqref>G165:H205 P165:Q205 Z165:AB205 H208:H224 Q208:Q224 AA208:AB228</xm:sqref>
        </x14:conditionalFormatting>
        <x14:conditionalFormatting xmlns:xm="http://schemas.microsoft.com/office/excel/2006/main">
          <x14:cfRule type="expression" priority="121" id="{7950ECC0-B477-4347-816E-3F3D40A54A83}">
            <xm:f>Postup!$K$21="1"</xm:f>
            <x14:dxf>
              <font>
                <color theme="1"/>
              </font>
              <fill>
                <patternFill>
                  <bgColor theme="0" tint="-0.24994659260841701"/>
                </patternFill>
              </fill>
            </x14:dxf>
          </x14:cfRule>
          <xm:sqref>G241:H281 P241:Q281 Z241:AB281 H284:H300 Q284:Q300 AA284:AB304</xm:sqref>
        </x14:conditionalFormatting>
        <x14:conditionalFormatting xmlns:xm="http://schemas.microsoft.com/office/excel/2006/main">
          <x14:cfRule type="expression" priority="120" id="{D7C368C5-9474-421A-A01E-43269E921A56}">
            <xm:f>Postup!$K$21="1"</xm:f>
            <x14:dxf>
              <font>
                <color theme="1"/>
              </font>
              <fill>
                <patternFill>
                  <bgColor theme="0" tint="-0.24994659260841701"/>
                </patternFill>
              </fill>
            </x14:dxf>
          </x14:cfRule>
          <xm:sqref>G317:H357 P317:Q357 Z317:AB357 H360:H376 Q360:Q376 AA360:AB380</xm:sqref>
        </x14:conditionalFormatting>
        <x14:conditionalFormatting xmlns:xm="http://schemas.microsoft.com/office/excel/2006/main">
          <x14:cfRule type="expression" priority="119" id="{FB400A3D-4C9E-47C2-BF0F-8462A5208891}">
            <xm:f>Postup!$K$21="1"</xm:f>
            <x14:dxf>
              <font>
                <color theme="1"/>
              </font>
              <fill>
                <patternFill>
                  <bgColor theme="0" tint="-0.24994659260841701"/>
                </patternFill>
              </fill>
            </x14:dxf>
          </x14:cfRule>
          <xm:sqref>G393:H433 P393:Q433 Z393:AB433 H436:H452 Q436:Q452 AA436:AB456</xm:sqref>
        </x14:conditionalFormatting>
        <x14:conditionalFormatting xmlns:xm="http://schemas.microsoft.com/office/excel/2006/main">
          <x14:cfRule type="expression" priority="118" id="{AB1F0EB4-2FBE-4262-AC83-C081D32D709C}">
            <xm:f>Postup!$K$21="1"</xm:f>
            <x14:dxf>
              <font>
                <color theme="1"/>
              </font>
              <fill>
                <patternFill>
                  <bgColor theme="0" tint="-0.24994659260841701"/>
                </patternFill>
              </fill>
            </x14:dxf>
          </x14:cfRule>
          <xm:sqref>G469:H509 P469:Q509 Z469:AB509 H512:H528 Q512:Q528 AA512:AB532</xm:sqref>
        </x14:conditionalFormatting>
        <x14:conditionalFormatting xmlns:xm="http://schemas.microsoft.com/office/excel/2006/main">
          <x14:cfRule type="expression" priority="117" id="{D4493893-09F9-4008-B550-0A344D1E8DBF}">
            <xm:f>Postup!$K$21="1"</xm:f>
            <x14:dxf>
              <font>
                <color theme="1"/>
              </font>
              <fill>
                <patternFill>
                  <bgColor theme="0" tint="-0.24994659260841701"/>
                </patternFill>
              </fill>
            </x14:dxf>
          </x14:cfRule>
          <xm:sqref>G545:H585 P545:Q585 Z545:AB585 H588:H604 Q588:Q604 AA588:AB608</xm:sqref>
        </x14:conditionalFormatting>
        <x14:conditionalFormatting xmlns:xm="http://schemas.microsoft.com/office/excel/2006/main">
          <x14:cfRule type="expression" priority="116" id="{8DE32B6C-0E70-4DD0-822A-52E7FA02C268}">
            <xm:f>Postup!$K$21="1"</xm:f>
            <x14:dxf>
              <font>
                <color theme="1"/>
              </font>
              <fill>
                <patternFill>
                  <bgColor theme="0" tint="-0.24994659260841701"/>
                </patternFill>
              </fill>
            </x14:dxf>
          </x14:cfRule>
          <xm:sqref>G621:H661 P621:Q661 Z621:AB661 H664:H680 Q664:Q680 AA664:AB684</xm:sqref>
        </x14:conditionalFormatting>
        <x14:conditionalFormatting xmlns:xm="http://schemas.microsoft.com/office/excel/2006/main">
          <x14:cfRule type="expression" priority="115" id="{62F60233-24A1-4F4F-9A7A-CCDD03B40E49}">
            <xm:f>Postup!$K$21="1"</xm:f>
            <x14:dxf>
              <font>
                <color theme="1"/>
              </font>
              <fill>
                <patternFill>
                  <bgColor theme="0" tint="-0.24994659260841701"/>
                </patternFill>
              </fill>
            </x14:dxf>
          </x14:cfRule>
          <xm:sqref>G697:H737 P697:Q737 Z697:AB737 H740:H756 Q740:Q756 AA740:AB760</xm:sqref>
        </x14:conditionalFormatting>
        <x14:conditionalFormatting xmlns:xm="http://schemas.microsoft.com/office/excel/2006/main">
          <x14:cfRule type="expression" priority="114" id="{F37FCA11-61BA-4804-A5CD-0F72FEAD97EF}">
            <xm:f>Postup!$K$21="1"</xm:f>
            <x14:dxf>
              <font>
                <color theme="1"/>
              </font>
              <fill>
                <patternFill>
                  <bgColor theme="0" tint="-0.24994659260841701"/>
                </patternFill>
              </fill>
            </x14:dxf>
          </x14:cfRule>
          <xm:sqref>G773:H813 P773:Q813 Z773:AB813 H816:H832 Q816:Q832 AA816:AB836</xm:sqref>
        </x14:conditionalFormatting>
        <x14:conditionalFormatting xmlns:xm="http://schemas.microsoft.com/office/excel/2006/main">
          <x14:cfRule type="expression" priority="93" id="{3B080EC6-27A4-4450-A2A2-02B04FF3DE24}">
            <xm:f>Provozování!$I$16="Neaktivní"</xm:f>
            <x14:dxf>
              <font>
                <color theme="1"/>
              </font>
              <fill>
                <patternFill>
                  <bgColor theme="0" tint="-0.24994659260841701"/>
                </patternFill>
              </fill>
            </x14:dxf>
          </x14:cfRule>
          <xm:sqref>K5:Q71 K72:N72 P72:Q72</xm:sqref>
        </x14:conditionalFormatting>
        <x14:conditionalFormatting xmlns:xm="http://schemas.microsoft.com/office/excel/2006/main">
          <x14:cfRule type="expression" priority="103" id="{DD4A7490-95DE-4AA0-B506-378589669DB1}">
            <xm:f>Provozování!$Q$16="Neaktivní"</xm:f>
            <x14:dxf>
              <font>
                <color theme="1"/>
              </font>
              <fill>
                <patternFill>
                  <bgColor theme="0" tint="-0.24994659260841701"/>
                </patternFill>
              </fill>
            </x14:dxf>
          </x14:cfRule>
          <xm:sqref>K81:Q148</xm:sqref>
        </x14:conditionalFormatting>
        <x14:conditionalFormatting xmlns:xm="http://schemas.microsoft.com/office/excel/2006/main">
          <x14:cfRule type="expression" priority="102" id="{F1962674-8C63-4BCE-83FD-B22750396814}">
            <xm:f>Provozování!$V$16="Neaktivní"</xm:f>
            <x14:dxf>
              <font>
                <color theme="1"/>
              </font>
              <fill>
                <patternFill>
                  <bgColor theme="0" tint="-0.24994659260841701"/>
                </patternFill>
              </fill>
            </x14:dxf>
          </x14:cfRule>
          <xm:sqref>K157:Q218 K219:N219 P219:Q219 K220:Q223 K224:N224 P224:Q224</xm:sqref>
        </x14:conditionalFormatting>
        <x14:conditionalFormatting xmlns:xm="http://schemas.microsoft.com/office/excel/2006/main">
          <x14:cfRule type="expression" priority="101" id="{87803CE1-C794-47F3-8AC1-1C49A9B79C0A}">
            <xm:f>Provozování!$AA$16="Neaktivní"</xm:f>
            <x14:dxf>
              <font>
                <color theme="1"/>
              </font>
              <fill>
                <patternFill>
                  <bgColor theme="0" tint="-0.24994659260841701"/>
                </patternFill>
              </fill>
            </x14:dxf>
          </x14:cfRule>
          <xm:sqref>K233:Q299 K300:N300 P300:Q300</xm:sqref>
        </x14:conditionalFormatting>
        <x14:conditionalFormatting xmlns:xm="http://schemas.microsoft.com/office/excel/2006/main">
          <x14:cfRule type="expression" priority="100" id="{4FCA35FA-9BB9-412D-AF97-09544A1788BC}">
            <xm:f>Provozování!$AF$16="Neaktivní"</xm:f>
            <x14:dxf>
              <font>
                <color theme="1"/>
              </font>
              <fill>
                <patternFill>
                  <bgColor theme="0" tint="-0.24994659260841701"/>
                </patternFill>
              </fill>
            </x14:dxf>
          </x14:cfRule>
          <xm:sqref>K309:Q375 K376:N376 P376:Q376</xm:sqref>
        </x14:conditionalFormatting>
        <x14:conditionalFormatting xmlns:xm="http://schemas.microsoft.com/office/excel/2006/main">
          <x14:cfRule type="expression" priority="99" id="{917E2947-FCA6-42ED-9C41-66141B2D7D69}">
            <xm:f>Provozování!$AK$16="Neaktivní"</xm:f>
            <x14:dxf>
              <font>
                <color theme="1"/>
              </font>
              <fill>
                <patternFill>
                  <bgColor theme="0" tint="-0.24994659260841701"/>
                </patternFill>
              </fill>
            </x14:dxf>
          </x14:cfRule>
          <xm:sqref>K385:Q451 K452:N452 P452:Q452</xm:sqref>
        </x14:conditionalFormatting>
        <x14:conditionalFormatting xmlns:xm="http://schemas.microsoft.com/office/excel/2006/main">
          <x14:cfRule type="expression" priority="98" id="{7D39E577-F5F1-4254-87E5-921EC59817C2}">
            <xm:f>Provozování!$AP$16="Neaktivní"</xm:f>
            <x14:dxf>
              <font>
                <color theme="1"/>
              </font>
              <fill>
                <patternFill>
                  <bgColor theme="0" tint="-0.24994659260841701"/>
                </patternFill>
              </fill>
            </x14:dxf>
          </x14:cfRule>
          <xm:sqref>K461:Q527 K528:N528 P528:Q528</xm:sqref>
        </x14:conditionalFormatting>
        <x14:conditionalFormatting xmlns:xm="http://schemas.microsoft.com/office/excel/2006/main">
          <x14:cfRule type="expression" priority="97" id="{ABF2F41B-8B77-48AF-8082-576A2D69EA14}">
            <xm:f>Provozování!$AU$16="Neaktivní"</xm:f>
            <x14:dxf>
              <font>
                <color theme="1"/>
              </font>
              <fill>
                <patternFill>
                  <bgColor theme="0" tint="-0.24994659260841701"/>
                </patternFill>
              </fill>
            </x14:dxf>
          </x14:cfRule>
          <xm:sqref>K537:Q603 K604:N604 P604:Q604</xm:sqref>
        </x14:conditionalFormatting>
        <x14:conditionalFormatting xmlns:xm="http://schemas.microsoft.com/office/excel/2006/main">
          <x14:cfRule type="expression" priority="96" id="{A1A5B97E-B978-4131-8A4B-DD8D6223F013}">
            <xm:f>Provozování!$AZ$16="Neaktivní"</xm:f>
            <x14:dxf>
              <font>
                <color theme="1"/>
              </font>
              <fill>
                <patternFill>
                  <bgColor theme="0" tint="-0.24994659260841701"/>
                </patternFill>
              </fill>
            </x14:dxf>
          </x14:cfRule>
          <xm:sqref>K613:Q679 K680:N680 P680:Q680</xm:sqref>
        </x14:conditionalFormatting>
        <x14:conditionalFormatting xmlns:xm="http://schemas.microsoft.com/office/excel/2006/main">
          <x14:cfRule type="expression" priority="95" id="{35B38720-E399-4502-8E16-F61D92F97786}">
            <xm:f>Provozování!$BE$16="Neaktivní"</xm:f>
            <x14:dxf>
              <font>
                <color theme="1"/>
              </font>
              <fill>
                <patternFill>
                  <bgColor theme="0" tint="-0.24994659260841701"/>
                </patternFill>
              </fill>
            </x14:dxf>
          </x14:cfRule>
          <xm:sqref>K689:Q755 K756:N756 P756:Q756</xm:sqref>
        </x14:conditionalFormatting>
        <x14:conditionalFormatting xmlns:xm="http://schemas.microsoft.com/office/excel/2006/main">
          <x14:cfRule type="expression" priority="94" id="{9DD1CE59-7335-4CC5-860B-9D767B287DC3}">
            <xm:f>Provozování!$BJ$16="Neaktivní"</xm:f>
            <x14:dxf>
              <font>
                <color theme="1"/>
              </font>
              <fill>
                <patternFill>
                  <bgColor theme="0" tint="-0.24994659260841701"/>
                </patternFill>
              </fill>
            </x14:dxf>
          </x14:cfRule>
          <xm:sqref>K765:Q831 K832:N832 P832:Q832</xm:sqref>
        </x14:conditionalFormatting>
        <x14:conditionalFormatting xmlns:xm="http://schemas.microsoft.com/office/excel/2006/main">
          <x14:cfRule type="expression" priority="8" id="{641C4F5E-3E5A-4DAE-AC90-5819922834AE}">
            <xm:f>Postup!$K$21="2"</xm:f>
            <x14:dxf>
              <font>
                <color theme="1"/>
              </font>
              <fill>
                <patternFill>
                  <bgColor theme="0" tint="-0.24994659260841701"/>
                </patternFill>
              </fill>
            </x14:dxf>
          </x14:cfRule>
          <x14:cfRule type="expression" priority="7" id="{FC293C8E-1206-49E2-BC7D-6126B5A4C1D3}">
            <xm:f>$D$308&gt;Postup!$J$25</xm:f>
            <x14:dxf>
              <font>
                <color theme="1"/>
              </font>
              <fill>
                <patternFill>
                  <bgColor theme="0" tint="-0.24994659260841701"/>
                </patternFill>
              </fill>
            </x14:dxf>
          </x14:cfRule>
          <xm:sqref>W410</xm:sqref>
        </x14:conditionalFormatting>
        <x14:conditionalFormatting xmlns:xm="http://schemas.microsoft.com/office/excel/2006/main">
          <x14:cfRule type="expression" priority="6" id="{8BE8C245-497E-487B-B444-527F576028D8}">
            <xm:f>Postup!$K$21="1"</xm:f>
            <x14:dxf>
              <font>
                <color theme="1"/>
              </font>
              <fill>
                <patternFill>
                  <bgColor theme="0" tint="-0.24994659260841701"/>
                </patternFill>
              </fill>
            </x14:dxf>
          </x14:cfRule>
          <x14:cfRule type="expression" priority="5" id="{759CA99A-A78A-49C2-9399-C2C49E9F1196}">
            <xm:f>$D$308&gt;Postup!$J$25</xm:f>
            <x14:dxf>
              <font>
                <color theme="1"/>
              </font>
              <fill>
                <patternFill>
                  <bgColor theme="0" tint="-0.24994659260841701"/>
                </patternFill>
              </fill>
            </x14:dxf>
          </x14:cfRule>
          <xm:sqref>Z410</xm:sqref>
        </x14:conditionalFormatting>
        <x14:conditionalFormatting xmlns:xm="http://schemas.microsoft.com/office/excel/2006/main">
          <x14:cfRule type="expression" priority="79" id="{BD7FC447-BFBE-49F0-913A-CAD8644F3404}">
            <xm:f>OR(Postup!$K$18="0",Postup!$K$18="0")</xm:f>
            <x14:dxf>
              <fill>
                <patternFill>
                  <bgColor theme="0" tint="-0.24994659260841701"/>
                </patternFill>
              </fill>
            </x14:dxf>
          </x14:cfRule>
          <xm:sqref>AE32:AH42</xm:sqref>
        </x14:conditionalFormatting>
        <x14:conditionalFormatting xmlns:xm="http://schemas.microsoft.com/office/excel/2006/main">
          <x14:cfRule type="expression" priority="156" id="{297E9C1E-864F-4F46-BE09-F14B8CDF4B7A}">
            <xm:f>OR(Postup!$K$18="0",Postup!$K$18="0")</xm:f>
            <x14:dxf>
              <fill>
                <patternFill>
                  <bgColor theme="0" tint="-0.24994659260841701"/>
                </patternFill>
              </fill>
            </x14:dxf>
          </x14:cfRule>
          <xm:sqref>AE45:AH47 AE48:AF48 AE49:AH52 AE121:AH123 AE124:AF124 AE125:AH128 AE197:AH199 AE200:AF200 AE201:AH204 AE273:AH275 AE276:AF276 AE277:AH280 AE349:AH351 AE352:AF352 AE353:AH356 AE425:AH427 AE428:AF428 AE429:AH432 AE501:AH503 AE504:AF504 AE505:AH508 AE577:AH579 AE580:AF580 AE581:AH584 AE653:AH655 AE656:AF656 AE657:AH660 AE729:AH731 AE732:AF732 AE733:AH736</xm:sqref>
        </x14:conditionalFormatting>
        <x14:conditionalFormatting xmlns:xm="http://schemas.microsoft.com/office/excel/2006/main">
          <x14:cfRule type="expression" priority="18" id="{9A3BA899-4373-41D2-8F51-3A087B751A74}">
            <xm:f>OR(Postup!$K$18="0",Postup!$K$18="0")</xm:f>
            <x14:dxf>
              <fill>
                <patternFill>
                  <bgColor theme="0" tint="-0.24994659260841701"/>
                </patternFill>
              </fill>
            </x14:dxf>
          </x14:cfRule>
          <xm:sqref>AE108:AH118</xm:sqref>
        </x14:conditionalFormatting>
        <x14:conditionalFormatting xmlns:xm="http://schemas.microsoft.com/office/excel/2006/main">
          <x14:cfRule type="expression" priority="17" id="{28338D8D-6886-4F2D-8645-EB0C7B37F5BF}">
            <xm:f>OR(Postup!$K$18="0",Postup!$K$18="0")</xm:f>
            <x14:dxf>
              <fill>
                <patternFill>
                  <bgColor theme="0" tint="-0.24994659260841701"/>
                </patternFill>
              </fill>
            </x14:dxf>
          </x14:cfRule>
          <xm:sqref>AE184:AH194</xm:sqref>
        </x14:conditionalFormatting>
        <x14:conditionalFormatting xmlns:xm="http://schemas.microsoft.com/office/excel/2006/main">
          <x14:cfRule type="expression" priority="16" id="{F4CC0ED6-AB14-405F-89E6-03467107818A}">
            <xm:f>OR(Postup!$K$18="0",Postup!$K$18="0")</xm:f>
            <x14:dxf>
              <fill>
                <patternFill>
                  <bgColor theme="0" tint="-0.24994659260841701"/>
                </patternFill>
              </fill>
            </x14:dxf>
          </x14:cfRule>
          <xm:sqref>AE260:AH270</xm:sqref>
        </x14:conditionalFormatting>
        <x14:conditionalFormatting xmlns:xm="http://schemas.microsoft.com/office/excel/2006/main">
          <x14:cfRule type="expression" priority="15" id="{5AE49922-0579-4BE0-A958-E44E6E938919}">
            <xm:f>OR(Postup!$K$18="0",Postup!$K$18="0")</xm:f>
            <x14:dxf>
              <fill>
                <patternFill>
                  <bgColor theme="0" tint="-0.24994659260841701"/>
                </patternFill>
              </fill>
            </x14:dxf>
          </x14:cfRule>
          <xm:sqref>AE336:AH346</xm:sqref>
        </x14:conditionalFormatting>
        <x14:conditionalFormatting xmlns:xm="http://schemas.microsoft.com/office/excel/2006/main">
          <x14:cfRule type="expression" priority="14" id="{A6D78245-53C3-4BC2-B1FA-A2E0D6AF0A7C}">
            <xm:f>OR(Postup!$K$18="0",Postup!$K$18="0")</xm:f>
            <x14:dxf>
              <fill>
                <patternFill>
                  <bgColor theme="0" tint="-0.24994659260841701"/>
                </patternFill>
              </fill>
            </x14:dxf>
          </x14:cfRule>
          <xm:sqref>AE412:AH422</xm:sqref>
        </x14:conditionalFormatting>
        <x14:conditionalFormatting xmlns:xm="http://schemas.microsoft.com/office/excel/2006/main">
          <x14:cfRule type="expression" priority="13" id="{471A4F49-CB20-4B9A-AD55-D08421B46DC3}">
            <xm:f>OR(Postup!$K$18="0",Postup!$K$18="0")</xm:f>
            <x14:dxf>
              <fill>
                <patternFill>
                  <bgColor theme="0" tint="-0.24994659260841701"/>
                </patternFill>
              </fill>
            </x14:dxf>
          </x14:cfRule>
          <xm:sqref>AE488:AH498</xm:sqref>
        </x14:conditionalFormatting>
        <x14:conditionalFormatting xmlns:xm="http://schemas.microsoft.com/office/excel/2006/main">
          <x14:cfRule type="expression" priority="12" id="{294E1781-C48C-4D73-936A-88100C8F375F}">
            <xm:f>OR(Postup!$K$18="0",Postup!$K$18="0")</xm:f>
            <x14:dxf>
              <fill>
                <patternFill>
                  <bgColor theme="0" tint="-0.24994659260841701"/>
                </patternFill>
              </fill>
            </x14:dxf>
          </x14:cfRule>
          <xm:sqref>AE564:AH574</xm:sqref>
        </x14:conditionalFormatting>
        <x14:conditionalFormatting xmlns:xm="http://schemas.microsoft.com/office/excel/2006/main">
          <x14:cfRule type="expression" priority="11" id="{488DF636-0D56-41AD-B4C4-58A9EE9F9CC8}">
            <xm:f>OR(Postup!$K$18="0",Postup!$K$18="0")</xm:f>
            <x14:dxf>
              <fill>
                <patternFill>
                  <bgColor theme="0" tint="-0.24994659260841701"/>
                </patternFill>
              </fill>
            </x14:dxf>
          </x14:cfRule>
          <xm:sqref>AE640:AH650</xm:sqref>
        </x14:conditionalFormatting>
        <x14:conditionalFormatting xmlns:xm="http://schemas.microsoft.com/office/excel/2006/main">
          <x14:cfRule type="expression" priority="10" id="{8E29F1D5-169F-4A4A-BB97-E7FF95D6F463}">
            <xm:f>OR(Postup!$K$18="0",Postup!$K$18="0")</xm:f>
            <x14:dxf>
              <fill>
                <patternFill>
                  <bgColor theme="0" tint="-0.24994659260841701"/>
                </patternFill>
              </fill>
            </x14:dxf>
          </x14:cfRule>
          <xm:sqref>AE716:AH726</xm:sqref>
        </x14:conditionalFormatting>
        <x14:conditionalFormatting xmlns:xm="http://schemas.microsoft.com/office/excel/2006/main">
          <x14:cfRule type="expression" priority="9" id="{34727FDA-846E-429F-9296-1393017061BE}">
            <xm:f>OR(Postup!$K$18="0",Postup!$K$18="0")</xm:f>
            <x14:dxf>
              <fill>
                <patternFill>
                  <bgColor theme="0" tint="-0.24994659260841701"/>
                </patternFill>
              </fill>
            </x14:dxf>
          </x14:cfRule>
          <xm:sqref>AE792:AH802</xm:sqref>
        </x14:conditionalFormatting>
        <x14:conditionalFormatting xmlns:xm="http://schemas.microsoft.com/office/excel/2006/main">
          <x14:cfRule type="expression" priority="1" id="{92D4D207-5EAF-4233-A65C-AA978368156B}">
            <xm:f>$D$764&gt;Postup!$J$25</xm:f>
            <x14:dxf>
              <font>
                <color theme="1"/>
              </font>
              <fill>
                <patternFill>
                  <bgColor theme="0" tint="-0.24994659260841701"/>
                </patternFill>
              </fill>
            </x14:dxf>
          </x14:cfRule>
          <x14:cfRule type="expression" priority="2" id="{CD181CF6-311D-462D-92B9-636FCE360818}">
            <xm:f>OR(Postup!$K$18="0",Postup!$K$18="0")</xm:f>
            <x14:dxf>
              <fill>
                <patternFill>
                  <bgColor theme="0" tint="-0.24994659260841701"/>
                </patternFill>
              </fill>
            </x14:dxf>
          </x14:cfRule>
          <xm:sqref>AE805:AH812</xm:sqref>
        </x14:conditionalFormatting>
        <x14:conditionalFormatting xmlns:xm="http://schemas.microsoft.com/office/excel/2006/main">
          <x14:cfRule type="expression" priority="81" id="{8EF21205-D6A9-4BD2-9BF8-64F193AC189B}">
            <xm:f>Postup!$K$21="2"</xm:f>
            <x14:dxf>
              <font>
                <color theme="1"/>
              </font>
              <fill>
                <patternFill>
                  <bgColor theme="0" tint="-0.24994659260841701"/>
                </patternFill>
              </fill>
            </x14:dxf>
          </x14:cfRule>
          <xm:sqref>AG32:AG42</xm:sqref>
        </x14:conditionalFormatting>
        <x14:conditionalFormatting xmlns:xm="http://schemas.microsoft.com/office/excel/2006/main">
          <x14:cfRule type="expression" priority="226" id="{5DF499E5-911B-4EA8-B969-2B34A5D429E0}">
            <xm:f>Postup!$K$21="2"</xm:f>
            <x14:dxf>
              <font>
                <color theme="1"/>
              </font>
              <fill>
                <patternFill>
                  <bgColor theme="0" tint="-0.24994659260841701"/>
                </patternFill>
              </fill>
            </x14:dxf>
          </x14:cfRule>
          <xm:sqref>AG45:AG47 AG49:AG52 AG121:AG123 AG125:AG128 AG197:AG199 AG201:AG204 AG273:AG275 AG277:AG280 AG349:AG351 AG353:AG356 AG425:AG427 AG429:AG432 AG501:AG503 AG505:AG508 AG577:AG579 AG581:AG584 AG653:AG655 AG657:AG660 AG729:AG731 AG733:AG736</xm:sqref>
        </x14:conditionalFormatting>
        <x14:conditionalFormatting xmlns:xm="http://schemas.microsoft.com/office/excel/2006/main">
          <x14:cfRule type="expression" priority="76" id="{938CE01E-4BC6-4609-9D18-CFFF2A8CBC79}">
            <xm:f>Postup!$K$21="2"</xm:f>
            <x14:dxf>
              <font>
                <color theme="1"/>
              </font>
              <fill>
                <patternFill>
                  <bgColor theme="0" tint="-0.24994659260841701"/>
                </patternFill>
              </fill>
            </x14:dxf>
          </x14:cfRule>
          <xm:sqref>AG108:AG118</xm:sqref>
        </x14:conditionalFormatting>
        <x14:conditionalFormatting xmlns:xm="http://schemas.microsoft.com/office/excel/2006/main">
          <x14:cfRule type="expression" priority="70" id="{7948D1D9-6659-456C-A271-8A0BEF46D6FC}">
            <xm:f>Postup!$K$21="2"</xm:f>
            <x14:dxf>
              <font>
                <color theme="1"/>
              </font>
              <fill>
                <patternFill>
                  <bgColor theme="0" tint="-0.24994659260841701"/>
                </patternFill>
              </fill>
            </x14:dxf>
          </x14:cfRule>
          <xm:sqref>AG184:AG194</xm:sqref>
        </x14:conditionalFormatting>
        <x14:conditionalFormatting xmlns:xm="http://schemas.microsoft.com/office/excel/2006/main">
          <x14:cfRule type="expression" priority="64" id="{F5BC74E6-5102-42F5-8026-BFCAFE6D3053}">
            <xm:f>Postup!$K$21="2"</xm:f>
            <x14:dxf>
              <font>
                <color theme="1"/>
              </font>
              <fill>
                <patternFill>
                  <bgColor theme="0" tint="-0.24994659260841701"/>
                </patternFill>
              </fill>
            </x14:dxf>
          </x14:cfRule>
          <xm:sqref>AG260:AG270</xm:sqref>
        </x14:conditionalFormatting>
        <x14:conditionalFormatting xmlns:xm="http://schemas.microsoft.com/office/excel/2006/main">
          <x14:cfRule type="expression" priority="58" id="{D75C0AAA-089E-4C3B-85C7-00C9C6A93BEA}">
            <xm:f>Postup!$K$21="2"</xm:f>
            <x14:dxf>
              <font>
                <color theme="1"/>
              </font>
              <fill>
                <patternFill>
                  <bgColor theme="0" tint="-0.24994659260841701"/>
                </patternFill>
              </fill>
            </x14:dxf>
          </x14:cfRule>
          <xm:sqref>AG336:AG346</xm:sqref>
        </x14:conditionalFormatting>
        <x14:conditionalFormatting xmlns:xm="http://schemas.microsoft.com/office/excel/2006/main">
          <x14:cfRule type="expression" priority="52" id="{F28EDF4A-966A-42D9-A93E-9F6609857827}">
            <xm:f>Postup!$K$21="2"</xm:f>
            <x14:dxf>
              <font>
                <color theme="1"/>
              </font>
              <fill>
                <patternFill>
                  <bgColor theme="0" tint="-0.24994659260841701"/>
                </patternFill>
              </fill>
            </x14:dxf>
          </x14:cfRule>
          <xm:sqref>AG412:AG422</xm:sqref>
        </x14:conditionalFormatting>
        <x14:conditionalFormatting xmlns:xm="http://schemas.microsoft.com/office/excel/2006/main">
          <x14:cfRule type="expression" priority="46" id="{60E0A45F-9618-47A6-A907-DBB4746BFAD3}">
            <xm:f>Postup!$K$21="2"</xm:f>
            <x14:dxf>
              <font>
                <color theme="1"/>
              </font>
              <fill>
                <patternFill>
                  <bgColor theme="0" tint="-0.24994659260841701"/>
                </patternFill>
              </fill>
            </x14:dxf>
          </x14:cfRule>
          <xm:sqref>AG488:AG498</xm:sqref>
        </x14:conditionalFormatting>
        <x14:conditionalFormatting xmlns:xm="http://schemas.microsoft.com/office/excel/2006/main">
          <x14:cfRule type="expression" priority="40" id="{D6946350-9EC0-4D24-AF5F-58AA8418B631}">
            <xm:f>Postup!$K$21="2"</xm:f>
            <x14:dxf>
              <font>
                <color theme="1"/>
              </font>
              <fill>
                <patternFill>
                  <bgColor theme="0" tint="-0.24994659260841701"/>
                </patternFill>
              </fill>
            </x14:dxf>
          </x14:cfRule>
          <xm:sqref>AG564:AG574</xm:sqref>
        </x14:conditionalFormatting>
        <x14:conditionalFormatting xmlns:xm="http://schemas.microsoft.com/office/excel/2006/main">
          <x14:cfRule type="expression" priority="34" id="{50FB43AF-E5EA-4384-832A-1547D7666AF3}">
            <xm:f>Postup!$K$21="2"</xm:f>
            <x14:dxf>
              <font>
                <color theme="1"/>
              </font>
              <fill>
                <patternFill>
                  <bgColor theme="0" tint="-0.24994659260841701"/>
                </patternFill>
              </fill>
            </x14:dxf>
          </x14:cfRule>
          <xm:sqref>AG640:AG650</xm:sqref>
        </x14:conditionalFormatting>
        <x14:conditionalFormatting xmlns:xm="http://schemas.microsoft.com/office/excel/2006/main">
          <x14:cfRule type="expression" priority="28" id="{AA217A70-902A-4B5B-8E51-64F5D25260F3}">
            <xm:f>Postup!$K$21="2"</xm:f>
            <x14:dxf>
              <font>
                <color theme="1"/>
              </font>
              <fill>
                <patternFill>
                  <bgColor theme="0" tint="-0.24994659260841701"/>
                </patternFill>
              </fill>
            </x14:dxf>
          </x14:cfRule>
          <xm:sqref>AG716:AG726</xm:sqref>
        </x14:conditionalFormatting>
        <x14:conditionalFormatting xmlns:xm="http://schemas.microsoft.com/office/excel/2006/main">
          <x14:cfRule type="expression" priority="22" id="{A1AF83E7-DA7B-4A18-AFA8-CBE6CEE98BD5}">
            <xm:f>Postup!$K$21="2"</xm:f>
            <x14:dxf>
              <font>
                <color theme="1"/>
              </font>
              <fill>
                <patternFill>
                  <bgColor theme="0" tint="-0.24994659260841701"/>
                </patternFill>
              </fill>
            </x14:dxf>
          </x14:cfRule>
          <xm:sqref>AG792:AG802</xm:sqref>
        </x14:conditionalFormatting>
        <x14:conditionalFormatting xmlns:xm="http://schemas.microsoft.com/office/excel/2006/main">
          <x14:cfRule type="expression" priority="4" id="{8A9EC765-A9E8-42AC-A5B9-FD6380C09967}">
            <xm:f>Postup!$K$21="2"</xm:f>
            <x14:dxf>
              <font>
                <color theme="1"/>
              </font>
              <fill>
                <patternFill>
                  <bgColor theme="0" tint="-0.24994659260841701"/>
                </patternFill>
              </fill>
            </x14:dxf>
          </x14:cfRule>
          <xm:sqref>AG805:AG812</xm:sqref>
        </x14:conditionalFormatting>
        <x14:conditionalFormatting xmlns:xm="http://schemas.microsoft.com/office/excel/2006/main">
          <x14:cfRule type="expression" priority="80" id="{6309B14D-9DB1-4B70-BD84-599F7AC8299F}">
            <xm:f>Postup!$K$21="1"</xm:f>
            <x14:dxf>
              <fill>
                <patternFill>
                  <bgColor theme="0" tint="-0.24994659260841701"/>
                </patternFill>
              </fill>
            </x14:dxf>
          </x14:cfRule>
          <xm:sqref>AH32:AH42</xm:sqref>
        </x14:conditionalFormatting>
        <x14:conditionalFormatting xmlns:xm="http://schemas.microsoft.com/office/excel/2006/main">
          <x14:cfRule type="expression" priority="157" id="{99EA46A1-5BDD-46DD-9772-AB0D3F3F97F5}">
            <xm:f>Postup!$K$21="1"</xm:f>
            <x14:dxf>
              <fill>
                <patternFill>
                  <bgColor theme="0" tint="-0.24994659260841701"/>
                </patternFill>
              </fill>
            </x14:dxf>
          </x14:cfRule>
          <xm:sqref>AH45:AH47 AH49:AH52 AH121:AH123 AH125:AH128 AH197:AH199 AH201:AH204 AH273:AH275 AH277:AH280 AH349:AH351 AH353:AH356 AH425:AH427 AH429:AH432 AH501:AH503 AH505:AH508 AH577:AH579 AH581:AH584 AH653:AH655 AH657:AH660 AH729:AH731 AH733:AH736</xm:sqref>
        </x14:conditionalFormatting>
        <x14:conditionalFormatting xmlns:xm="http://schemas.microsoft.com/office/excel/2006/main">
          <x14:cfRule type="expression" priority="75" id="{1D0C2DE6-67F0-44D6-8C6F-6838CF90959F}">
            <xm:f>Postup!$K$21="1"</xm:f>
            <x14:dxf>
              <fill>
                <patternFill>
                  <bgColor theme="0" tint="-0.24994659260841701"/>
                </patternFill>
              </fill>
            </x14:dxf>
          </x14:cfRule>
          <xm:sqref>AH108:AH118</xm:sqref>
        </x14:conditionalFormatting>
        <x14:conditionalFormatting xmlns:xm="http://schemas.microsoft.com/office/excel/2006/main">
          <x14:cfRule type="expression" priority="69" id="{489A8CEF-2A44-4948-9844-7B53D343B234}">
            <xm:f>Postup!$K$21="1"</xm:f>
            <x14:dxf>
              <fill>
                <patternFill>
                  <bgColor theme="0" tint="-0.24994659260841701"/>
                </patternFill>
              </fill>
            </x14:dxf>
          </x14:cfRule>
          <xm:sqref>AH184:AH194</xm:sqref>
        </x14:conditionalFormatting>
        <x14:conditionalFormatting xmlns:xm="http://schemas.microsoft.com/office/excel/2006/main">
          <x14:cfRule type="expression" priority="63" id="{DE23166F-9404-4B34-8AFA-C51797752E8F}">
            <xm:f>Postup!$K$21="1"</xm:f>
            <x14:dxf>
              <fill>
                <patternFill>
                  <bgColor theme="0" tint="-0.24994659260841701"/>
                </patternFill>
              </fill>
            </x14:dxf>
          </x14:cfRule>
          <xm:sqref>AH260:AH270</xm:sqref>
        </x14:conditionalFormatting>
        <x14:conditionalFormatting xmlns:xm="http://schemas.microsoft.com/office/excel/2006/main">
          <x14:cfRule type="expression" priority="57" id="{939502AD-D02F-4DBA-8FAC-CA7AB2A36E7A}">
            <xm:f>Postup!$K$21="1"</xm:f>
            <x14:dxf>
              <fill>
                <patternFill>
                  <bgColor theme="0" tint="-0.24994659260841701"/>
                </patternFill>
              </fill>
            </x14:dxf>
          </x14:cfRule>
          <xm:sqref>AH336:AH346</xm:sqref>
        </x14:conditionalFormatting>
        <x14:conditionalFormatting xmlns:xm="http://schemas.microsoft.com/office/excel/2006/main">
          <x14:cfRule type="expression" priority="51" id="{9E6FC065-5DAB-4DCD-B90C-0E0858F07A4C}">
            <xm:f>Postup!$K$21="1"</xm:f>
            <x14:dxf>
              <fill>
                <patternFill>
                  <bgColor theme="0" tint="-0.24994659260841701"/>
                </patternFill>
              </fill>
            </x14:dxf>
          </x14:cfRule>
          <xm:sqref>AH412:AH422</xm:sqref>
        </x14:conditionalFormatting>
        <x14:conditionalFormatting xmlns:xm="http://schemas.microsoft.com/office/excel/2006/main">
          <x14:cfRule type="expression" priority="45" id="{23149942-7F1E-496C-92FE-66EE4BF0BB9C}">
            <xm:f>Postup!$K$21="1"</xm:f>
            <x14:dxf>
              <fill>
                <patternFill>
                  <bgColor theme="0" tint="-0.24994659260841701"/>
                </patternFill>
              </fill>
            </x14:dxf>
          </x14:cfRule>
          <xm:sqref>AH488:AH498</xm:sqref>
        </x14:conditionalFormatting>
        <x14:conditionalFormatting xmlns:xm="http://schemas.microsoft.com/office/excel/2006/main">
          <x14:cfRule type="expression" priority="39" id="{B9777C73-273B-4784-8A7A-50C374E9801E}">
            <xm:f>Postup!$K$21="1"</xm:f>
            <x14:dxf>
              <fill>
                <patternFill>
                  <bgColor theme="0" tint="-0.24994659260841701"/>
                </patternFill>
              </fill>
            </x14:dxf>
          </x14:cfRule>
          <xm:sqref>AH564:AH574</xm:sqref>
        </x14:conditionalFormatting>
        <x14:conditionalFormatting xmlns:xm="http://schemas.microsoft.com/office/excel/2006/main">
          <x14:cfRule type="expression" priority="33" id="{1163E85F-5D19-4EF0-A6BB-8FC77C619C35}">
            <xm:f>Postup!$K$21="1"</xm:f>
            <x14:dxf>
              <fill>
                <patternFill>
                  <bgColor theme="0" tint="-0.24994659260841701"/>
                </patternFill>
              </fill>
            </x14:dxf>
          </x14:cfRule>
          <xm:sqref>AH640:AH650</xm:sqref>
        </x14:conditionalFormatting>
        <x14:conditionalFormatting xmlns:xm="http://schemas.microsoft.com/office/excel/2006/main">
          <x14:cfRule type="expression" priority="27" id="{E71AA0A7-5CCF-4571-BCDF-283502CF1CFB}">
            <xm:f>Postup!$K$21="1"</xm:f>
            <x14:dxf>
              <fill>
                <patternFill>
                  <bgColor theme="0" tint="-0.24994659260841701"/>
                </patternFill>
              </fill>
            </x14:dxf>
          </x14:cfRule>
          <xm:sqref>AH716:AH726</xm:sqref>
        </x14:conditionalFormatting>
        <x14:conditionalFormatting xmlns:xm="http://schemas.microsoft.com/office/excel/2006/main">
          <x14:cfRule type="expression" priority="21" id="{00B20FA1-352E-41E2-988E-C408D7BF9300}">
            <xm:f>Postup!$K$21="1"</xm:f>
            <x14:dxf>
              <fill>
                <patternFill>
                  <bgColor theme="0" tint="-0.24994659260841701"/>
                </patternFill>
              </fill>
            </x14:dxf>
          </x14:cfRule>
          <xm:sqref>AH792:AH802</xm:sqref>
        </x14:conditionalFormatting>
        <x14:conditionalFormatting xmlns:xm="http://schemas.microsoft.com/office/excel/2006/main">
          <x14:cfRule type="expression" priority="3" id="{F46C25BB-BB17-409E-B15A-380846C11406}">
            <xm:f>Postup!$K$21="1"</xm:f>
            <x14:dxf>
              <fill>
                <patternFill>
                  <bgColor theme="0" tint="-0.24994659260841701"/>
                </patternFill>
              </fill>
            </x14:dxf>
          </x14:cfRule>
          <xm:sqref>AH805:AH812</xm:sqref>
        </x14:conditionalFormatting>
      </x14:conditionalFormattings>
    </ext>
    <ext xmlns:x14="http://schemas.microsoft.com/office/spreadsheetml/2009/9/main" uri="{CCE6A557-97BC-4b89-ADB6-D9C93CAAB3DF}">
      <x14:dataValidations xmlns:xm="http://schemas.microsoft.com/office/excel/2006/main" count="94">
        <x14:dataValidation type="decimal" operator="lessThan" allowBlank="1" showInputMessage="1" showErrorMessage="1" error="Není možné zadat hodnotu vyšší než je Cenový strop pro tuto položku." xr:uid="{00000000-0002-0000-0400-000004000000}">
          <x14:formula1>
            <xm:f>Výpočty!AU55</xm:f>
          </x14:formula1>
          <xm:sqref>F786:F787 F790 F780:F781 F783:F784 F795:F799</xm:sqref>
        </x14:dataValidation>
        <x14:dataValidation type="decimal" operator="lessThan" allowBlank="1" showInputMessage="1" showErrorMessage="1" error="Není možné zadat hodnotu vyšší než je Cenový strop pro tuto položku." xr:uid="{00000000-0002-0000-0400-000005000000}">
          <x14:formula1>
            <xm:f>Výpočty!AV55</xm:f>
          </x14:formula1>
          <xm:sqref>H786:H787 H790 H780:H781 H783:H784 H795:H799</xm:sqref>
        </x14:dataValidation>
        <x14:dataValidation type="decimal" operator="lessThan" allowBlank="1" showInputMessage="1" showErrorMessage="1" error="Není možné zadat hodnotu vyšší než je Cenový strop pro tuto položku." xr:uid="{00000000-0002-0000-0400-000006000000}">
          <x14:formula1>
            <xm:f>Výpočty!AW55</xm:f>
          </x14:formula1>
          <xm:sqref>O786:O787 O790 O780:O781 O783:O784 O795:O799</xm:sqref>
        </x14:dataValidation>
        <x14:dataValidation type="decimal" operator="lessThan" allowBlank="1" showInputMessage="1" showErrorMessage="1" error="Není možné zadat hodnotu vyšší než je Cenový strop pro tuto položku." xr:uid="{00000000-0002-0000-0400-000007000000}">
          <x14:formula1>
            <xm:f>Výpočty!AX55</xm:f>
          </x14:formula1>
          <xm:sqref>Q790 Q783:Q784 Q786:Q787 Q780:Q781 Q795:Q799</xm:sqref>
        </x14:dataValidation>
        <x14:dataValidation type="decimal" operator="lessThanOrEqual" allowBlank="1" showInputMessage="1" showErrorMessage="1" error="Není možné zadat hodnotu vyšší než je Cenový strop pro tuto položku." xr:uid="{00000000-0002-0000-0400-000008000000}">
          <x14:formula1>
            <xm:f>Výpočty!AU75</xm:f>
          </x14:formula1>
          <xm:sqref>F800</xm:sqref>
        </x14:dataValidation>
        <x14:dataValidation type="decimal" operator="lessThanOrEqual" allowBlank="1" showInputMessage="1" showErrorMessage="1" error="Není možné zadat hodnotu vyšší než je Cenový strop pro tuto položku." xr:uid="{00000000-0002-0000-0400-000009000000}">
          <x14:formula1>
            <xm:f>Výpočty!AV75</xm:f>
          </x14:formula1>
          <xm:sqref>H800</xm:sqref>
        </x14:dataValidation>
        <x14:dataValidation type="decimal" operator="lessThanOrEqual" allowBlank="1" showInputMessage="1" showErrorMessage="1" error="Není možné zadat hodnotu vyšší než je Cenový strop pro tuto položku." xr:uid="{00000000-0002-0000-0400-00000A000000}">
          <x14:formula1>
            <xm:f>Výpočty!AW75</xm:f>
          </x14:formula1>
          <xm:sqref>O800</xm:sqref>
        </x14:dataValidation>
        <x14:dataValidation type="decimal" operator="lessThanOrEqual" allowBlank="1" showInputMessage="1" showErrorMessage="1" error="Není možné zadat hodnotu vyšší než je Cenový strop pro tuto položku." xr:uid="{00000000-0002-0000-0400-00000B000000}">
          <x14:formula1>
            <xm:f>Výpočty!AX75</xm:f>
          </x14:formula1>
          <xm:sqref>Q800</xm:sqref>
        </x14:dataValidation>
        <x14:dataValidation type="decimal" operator="lessThan" allowBlank="1" showInputMessage="1" showErrorMessage="1" error="Není možné zadat hodnotu vyšší než je Cenový strop pro tuto položku." xr:uid="{00000000-0002-0000-0400-00000C000000}">
          <x14:formula1>
            <xm:f>Výpočty!AS55</xm:f>
          </x14:formula1>
          <xm:sqref>O710:O711 O714 O704:O705 O707:O708 O719:O723</xm:sqref>
        </x14:dataValidation>
        <x14:dataValidation type="decimal" operator="lessThan" allowBlank="1" showInputMessage="1" showErrorMessage="1" error="Není možné zadat hodnotu vyšší než je Cenový strop pro tuto položku." xr:uid="{00000000-0002-0000-0400-00000D000000}">
          <x14:formula1>
            <xm:f>Výpočty!AT55</xm:f>
          </x14:formula1>
          <xm:sqref>Q714 Q707:Q708 Q710:Q711 Q704:Q705 Q719:Q723</xm:sqref>
        </x14:dataValidation>
        <x14:dataValidation type="decimal" operator="lessThan" allowBlank="1" showInputMessage="1" showErrorMessage="1" error="Není možné zadat hodnotu vyšší než je Cenový strop pro tuto položku." xr:uid="{00000000-0002-0000-0400-00000E000000}">
          <x14:formula1>
            <xm:f>Výpočty!AQ55</xm:f>
          </x14:formula1>
          <xm:sqref>F710:F711 F714 F704:F705 F707:F708 F719:F723</xm:sqref>
        </x14:dataValidation>
        <x14:dataValidation type="decimal" operator="lessThan" allowBlank="1" showInputMessage="1" showErrorMessage="1" error="Není možné zadat hodnotu vyšší než je Cenový strop pro tuto položku." xr:uid="{00000000-0002-0000-0400-00000F000000}">
          <x14:formula1>
            <xm:f>Výpočty!AR55</xm:f>
          </x14:formula1>
          <xm:sqref>H710:H711 H714 H704:H705 H707:H708 H719:H723</xm:sqref>
        </x14:dataValidation>
        <x14:dataValidation type="decimal" operator="lessThanOrEqual" allowBlank="1" showInputMessage="1" showErrorMessage="1" error="Není možné zadat hodnotu vyšší než je Cenový strop pro tuto položku." xr:uid="{00000000-0002-0000-0400-000010000000}">
          <x14:formula1>
            <xm:f>Výpočty!AQ75</xm:f>
          </x14:formula1>
          <xm:sqref>F724</xm:sqref>
        </x14:dataValidation>
        <x14:dataValidation type="decimal" operator="lessThanOrEqual" allowBlank="1" showInputMessage="1" showErrorMessage="1" error="Není možné zadat hodnotu vyšší než je Cenový strop pro tuto položku." xr:uid="{00000000-0002-0000-0400-000011000000}">
          <x14:formula1>
            <xm:f>Výpočty!AR75</xm:f>
          </x14:formula1>
          <xm:sqref>H724</xm:sqref>
        </x14:dataValidation>
        <x14:dataValidation type="decimal" operator="lessThanOrEqual" allowBlank="1" showInputMessage="1" showErrorMessage="1" error="Není možné zadat hodnotu vyšší než je Cenový strop pro tuto položku." xr:uid="{00000000-0002-0000-0400-000012000000}">
          <x14:formula1>
            <xm:f>Výpočty!AS75</xm:f>
          </x14:formula1>
          <xm:sqref>O724</xm:sqref>
        </x14:dataValidation>
        <x14:dataValidation type="decimal" operator="lessThanOrEqual" allowBlank="1" showInputMessage="1" showErrorMessage="1" error="Není možné zadat hodnotu vyšší než je Cenový strop pro tuto položku." xr:uid="{00000000-0002-0000-0400-000013000000}">
          <x14:formula1>
            <xm:f>Výpočty!AT75</xm:f>
          </x14:formula1>
          <xm:sqref>Q724</xm:sqref>
        </x14:dataValidation>
        <x14:dataValidation type="decimal" operator="lessThan" allowBlank="1" showInputMessage="1" showErrorMessage="1" error="Není možné zadat hodnotu vyšší než je Cenový strop pro tuto položku." xr:uid="{00000000-0002-0000-0400-000014000000}">
          <x14:formula1>
            <xm:f>Výpočty!AP58</xm:f>
          </x14:formula1>
          <xm:sqref>Q628:Q629 Q631:Q632 Q634:Q635 Q643:Q644</xm:sqref>
        </x14:dataValidation>
        <x14:dataValidation type="decimal" operator="lessThan" allowBlank="1" showInputMessage="1" showErrorMessage="1" error="Není možné zadat hodnotu vyšší než je Cenový strop pro tuto položku." xr:uid="{00000000-0002-0000-0400-000015000000}">
          <x14:formula1>
            <xm:f>Výpočty!AM55</xm:f>
          </x14:formula1>
          <xm:sqref>F634:F635 F638 F628:F629 F631:F632 F643:F647</xm:sqref>
        </x14:dataValidation>
        <x14:dataValidation type="decimal" operator="lessThan" allowBlank="1" showInputMessage="1" showErrorMessage="1" error="Není možné zadat hodnotu vyšší než je Cenový strop pro tuto položku." xr:uid="{00000000-0002-0000-0400-000016000000}">
          <x14:formula1>
            <xm:f>Výpočty!AN55</xm:f>
          </x14:formula1>
          <xm:sqref>H634:H635 H638 H628:H629 H631:H632 H643:H647</xm:sqref>
        </x14:dataValidation>
        <x14:dataValidation type="decimal" operator="lessThan" allowBlank="1" showInputMessage="1" showErrorMessage="1" error="Není možné zadat hodnotu vyšší než je Cenový strop pro tuto položku." xr:uid="{00000000-0002-0000-0400-000017000000}">
          <x14:formula1>
            <xm:f>Výpočty!AO55</xm:f>
          </x14:formula1>
          <xm:sqref>O634:O635 O638 O628:O629 O631:O632 O643:O647</xm:sqref>
        </x14:dataValidation>
        <x14:dataValidation type="decimal" operator="lessThan" allowBlank="1" showInputMessage="1" showErrorMessage="1" error="Není možné zadat hodnotu vyšší než je Cenový strop pro tuto položku." xr:uid="{00000000-0002-0000-0400-000018000000}">
          <x14:formula1>
            <xm:f>Výpočty!AP65</xm:f>
          </x14:formula1>
          <xm:sqref>Q638 Q645:Q647</xm:sqref>
        </x14:dataValidation>
        <x14:dataValidation type="decimal" operator="lessThanOrEqual" allowBlank="1" showInputMessage="1" showErrorMessage="1" error="Není možné zadat hodnotu vyšší než je Cenový strop pro tuto položku." xr:uid="{00000000-0002-0000-0400-000019000000}">
          <x14:formula1>
            <xm:f>Výpočty!AM75</xm:f>
          </x14:formula1>
          <xm:sqref>F648</xm:sqref>
        </x14:dataValidation>
        <x14:dataValidation type="decimal" operator="lessThanOrEqual" allowBlank="1" showInputMessage="1" showErrorMessage="1" error="Není možné zadat hodnotu vyšší než je Cenový strop pro tuto položku." xr:uid="{00000000-0002-0000-0400-00001A000000}">
          <x14:formula1>
            <xm:f>Výpočty!AN75</xm:f>
          </x14:formula1>
          <xm:sqref>H648</xm:sqref>
        </x14:dataValidation>
        <x14:dataValidation type="decimal" operator="lessThanOrEqual" allowBlank="1" showInputMessage="1" showErrorMessage="1" error="Není možné zadat hodnotu vyšší než je Cenový strop pro tuto položku." xr:uid="{00000000-0002-0000-0400-00001B000000}">
          <x14:formula1>
            <xm:f>Výpočty!AO75</xm:f>
          </x14:formula1>
          <xm:sqref>O648</xm:sqref>
        </x14:dataValidation>
        <x14:dataValidation type="decimal" operator="lessThanOrEqual" allowBlank="1" showInputMessage="1" showErrorMessage="1" error="Není možné zadat hodnotu vyšší než je Cenový strop pro tuto položku." xr:uid="{00000000-0002-0000-0400-00001C000000}">
          <x14:formula1>
            <xm:f>Výpočty!AP75</xm:f>
          </x14:formula1>
          <xm:sqref>Q648</xm:sqref>
        </x14:dataValidation>
        <x14:dataValidation type="decimal" operator="lessThan" allowBlank="1" showInputMessage="1" showErrorMessage="1" error="Není možné zadat hodnotu vyšší než je Cenový strop pro tuto položku." xr:uid="{00000000-0002-0000-0400-00001D000000}">
          <x14:formula1>
            <xm:f>Výpočty!AI55</xm:f>
          </x14:formula1>
          <xm:sqref>F562 F555:F556 F558:F559 F552:F553 F567:F571</xm:sqref>
        </x14:dataValidation>
        <x14:dataValidation type="decimal" operator="lessThan" allowBlank="1" showInputMessage="1" showErrorMessage="1" error="Není možné zadat hodnotu vyšší než je Cenový strop pro tuto položku." xr:uid="{00000000-0002-0000-0400-00001E000000}">
          <x14:formula1>
            <xm:f>Výpočty!AJ55</xm:f>
          </x14:formula1>
          <xm:sqref>H558:H559 H562 H552:H553 H555:H556 H567:H571</xm:sqref>
        </x14:dataValidation>
        <x14:dataValidation type="decimal" operator="lessThan" allowBlank="1" showInputMessage="1" showErrorMessage="1" error="Není možné zadat hodnotu vyšší než je Cenový strop pro tuto položku." xr:uid="{00000000-0002-0000-0400-00001F000000}">
          <x14:formula1>
            <xm:f>Výpočty!AK55</xm:f>
          </x14:formula1>
          <xm:sqref>O558:O559 O562 O552:O553 O555:O556 O567:O571</xm:sqref>
        </x14:dataValidation>
        <x14:dataValidation type="decimal" operator="lessThan" allowBlank="1" showInputMessage="1" showErrorMessage="1" error="Není možné zadat hodnotu vyšší než je Cenový strop pro tuto položku." xr:uid="{00000000-0002-0000-0400-000020000000}">
          <x14:formula1>
            <xm:f>Výpočty!AL55</xm:f>
          </x14:formula1>
          <xm:sqref>Q562 Q555:Q556 Q558:Q559 Q552:Q553 Q567:Q571</xm:sqref>
        </x14:dataValidation>
        <x14:dataValidation type="decimal" operator="lessThanOrEqual" allowBlank="1" showInputMessage="1" showErrorMessage="1" error="Není možné zadat hodnotu vyšší než je Cenový strop pro tuto položku." xr:uid="{00000000-0002-0000-0400-000021000000}">
          <x14:formula1>
            <xm:f>Výpočty!AI75</xm:f>
          </x14:formula1>
          <xm:sqref>F572</xm:sqref>
        </x14:dataValidation>
        <x14:dataValidation type="decimal" operator="lessThanOrEqual" allowBlank="1" showInputMessage="1" showErrorMessage="1" error="Není možné zadat hodnotu vyšší než je Cenový strop pro tuto položku." xr:uid="{00000000-0002-0000-0400-000022000000}">
          <x14:formula1>
            <xm:f>Výpočty!AJ75</xm:f>
          </x14:formula1>
          <xm:sqref>H572</xm:sqref>
        </x14:dataValidation>
        <x14:dataValidation type="decimal" operator="lessThanOrEqual" allowBlank="1" showInputMessage="1" showErrorMessage="1" error="Není možné zadat hodnotu vyšší než je Cenový strop pro tuto položku." xr:uid="{00000000-0002-0000-0400-000023000000}">
          <x14:formula1>
            <xm:f>Výpočty!AK75</xm:f>
          </x14:formula1>
          <xm:sqref>O572</xm:sqref>
        </x14:dataValidation>
        <x14:dataValidation type="decimal" operator="lessThanOrEqual" allowBlank="1" showInputMessage="1" showErrorMessage="1" error="Není možné zadat hodnotu vyšší než je Cenový strop pro tuto položku." xr:uid="{00000000-0002-0000-0400-000024000000}">
          <x14:formula1>
            <xm:f>Výpočty!AL75</xm:f>
          </x14:formula1>
          <xm:sqref>Q572</xm:sqref>
        </x14:dataValidation>
        <x14:dataValidation type="decimal" operator="lessThan" allowBlank="1" showInputMessage="1" showErrorMessage="1" error="Není možné zadat hodnotu vyšší než je Cenový strop pro tuto položku." xr:uid="{00000000-0002-0000-0400-000025000000}">
          <x14:formula1>
            <xm:f>Výpočty!AE55</xm:f>
          </x14:formula1>
          <xm:sqref>F482:F483 F486 F476:F477 F479:F480 F491:F495</xm:sqref>
        </x14:dataValidation>
        <x14:dataValidation type="decimal" operator="lessThan" allowBlank="1" showInputMessage="1" showErrorMessage="1" error="Není možné zadat hodnotu vyšší než je Cenový strop pro tuto položku." xr:uid="{00000000-0002-0000-0400-000026000000}">
          <x14:formula1>
            <xm:f>Výpočty!AF55</xm:f>
          </x14:formula1>
          <xm:sqref>H482:H483 H486 H476:H477 H479:H480 H491:H495</xm:sqref>
        </x14:dataValidation>
        <x14:dataValidation type="decimal" operator="lessThan" allowBlank="1" showInputMessage="1" showErrorMessage="1" error="Není možné zadat hodnotu vyšší než je Cenový strop pro tuto položku." xr:uid="{00000000-0002-0000-0400-000027000000}">
          <x14:formula1>
            <xm:f>Výpočty!AG55</xm:f>
          </x14:formula1>
          <xm:sqref>O482:O483 O486 O476:O477 O479:O480 O491:O495</xm:sqref>
        </x14:dataValidation>
        <x14:dataValidation type="decimal" operator="lessThan" allowBlank="1" showInputMessage="1" showErrorMessage="1" error="Není možné zadat hodnotu vyšší než je Cenový strop pro tuto položku." xr:uid="{00000000-0002-0000-0400-000028000000}">
          <x14:formula1>
            <xm:f>Výpočty!AH55</xm:f>
          </x14:formula1>
          <xm:sqref>Q486 Q479:Q480 Q482:Q483 Q476:Q477 Q491:Q495</xm:sqref>
        </x14:dataValidation>
        <x14:dataValidation type="decimal" operator="lessThanOrEqual" allowBlank="1" showInputMessage="1" showErrorMessage="1" error="Není možné zadat hodnotu vyšší než je Cenový strop pro tuto položku." xr:uid="{00000000-0002-0000-0400-000029000000}">
          <x14:formula1>
            <xm:f>Výpočty!AE75</xm:f>
          </x14:formula1>
          <xm:sqref>F496</xm:sqref>
        </x14:dataValidation>
        <x14:dataValidation type="decimal" operator="lessThanOrEqual" allowBlank="1" showInputMessage="1" showErrorMessage="1" error="Není možné zadat hodnotu vyšší než je Cenový strop pro tuto položku." xr:uid="{00000000-0002-0000-0400-00002A000000}">
          <x14:formula1>
            <xm:f>Výpočty!AF75</xm:f>
          </x14:formula1>
          <xm:sqref>H496</xm:sqref>
        </x14:dataValidation>
        <x14:dataValidation type="decimal" operator="lessThanOrEqual" allowBlank="1" showInputMessage="1" showErrorMessage="1" error="Není možné zadat hodnotu vyšší než je Cenový strop pro tuto položku." xr:uid="{00000000-0002-0000-0400-00002B000000}">
          <x14:formula1>
            <xm:f>Výpočty!AG75</xm:f>
          </x14:formula1>
          <xm:sqref>O496</xm:sqref>
        </x14:dataValidation>
        <x14:dataValidation type="decimal" operator="lessThanOrEqual" allowBlank="1" showInputMessage="1" showErrorMessage="1" error="Není možné zadat hodnotu vyšší než je Cenový strop pro tuto položku." xr:uid="{00000000-0002-0000-0400-00002C000000}">
          <x14:formula1>
            <xm:f>Výpočty!AH75</xm:f>
          </x14:formula1>
          <xm:sqref>Q496</xm:sqref>
        </x14:dataValidation>
        <x14:dataValidation type="decimal" operator="lessThan" allowBlank="1" showInputMessage="1" showErrorMessage="1" error="Není možné zadat hodnotu vyšší než je Cenový strop pro tuto položku." xr:uid="{00000000-0002-0000-0400-00002D000000}">
          <x14:formula1>
            <xm:f>Výpočty!AA55</xm:f>
          </x14:formula1>
          <xm:sqref>F410 F403:F404 F406:F407 F400:F401 F415:F419</xm:sqref>
        </x14:dataValidation>
        <x14:dataValidation type="decimal" operator="lessThan" allowBlank="1" showInputMessage="1" showErrorMessage="1" error="Není možné zadat hodnotu vyšší než je Cenový strop pro tuto položku." xr:uid="{00000000-0002-0000-0400-00002E000000}">
          <x14:formula1>
            <xm:f>Výpočty!AB55</xm:f>
          </x14:formula1>
          <xm:sqref>H410 H403:H404 H406:H407 H400:H401 H415:H419</xm:sqref>
        </x14:dataValidation>
        <x14:dataValidation type="decimal" operator="lessThan" allowBlank="1" showInputMessage="1" showErrorMessage="1" error="Není možné zadat hodnotu vyšší než je Cenový strop pro tuto položku." xr:uid="{00000000-0002-0000-0400-00002F000000}">
          <x14:formula1>
            <xm:f>Výpočty!AC55</xm:f>
          </x14:formula1>
          <xm:sqref>O410 O403:O404 O406:O407 O400:O401 O415:O419</xm:sqref>
        </x14:dataValidation>
        <x14:dataValidation type="decimal" operator="lessThan" allowBlank="1" showInputMessage="1" showErrorMessage="1" error="Není možné zadat hodnotu vyšší než je Cenový strop pro tuto položku." xr:uid="{00000000-0002-0000-0400-000030000000}">
          <x14:formula1>
            <xm:f>Výpočty!AD55</xm:f>
          </x14:formula1>
          <xm:sqref>Q410 Q403:Q404 Q406:Q407 Q400:Q401 Q415:Q419</xm:sqref>
        </x14:dataValidation>
        <x14:dataValidation type="decimal" operator="lessThanOrEqual" allowBlank="1" showInputMessage="1" showErrorMessage="1" error="Není možné zadat hodnotu vyšší než je Cenový strop pro tuto položku." xr:uid="{00000000-0002-0000-0400-000031000000}">
          <x14:formula1>
            <xm:f>Výpočty!AA75</xm:f>
          </x14:formula1>
          <xm:sqref>F420</xm:sqref>
        </x14:dataValidation>
        <x14:dataValidation type="decimal" operator="lessThanOrEqual" allowBlank="1" showInputMessage="1" showErrorMessage="1" error="Není možné zadat hodnotu vyšší než je Cenový strop pro tuto položku." xr:uid="{00000000-0002-0000-0400-000032000000}">
          <x14:formula1>
            <xm:f>Výpočty!AB75</xm:f>
          </x14:formula1>
          <xm:sqref>H420</xm:sqref>
        </x14:dataValidation>
        <x14:dataValidation type="decimal" operator="lessThanOrEqual" allowBlank="1" showInputMessage="1" showErrorMessage="1" error="Není možné zadat hodnotu vyšší než je Cenový strop pro tuto položku." xr:uid="{00000000-0002-0000-0400-000033000000}">
          <x14:formula1>
            <xm:f>Výpočty!AC75</xm:f>
          </x14:formula1>
          <xm:sqref>O420</xm:sqref>
        </x14:dataValidation>
        <x14:dataValidation type="decimal" operator="lessThanOrEqual" allowBlank="1" showInputMessage="1" showErrorMessage="1" error="Není možné zadat hodnotu vyšší než je Cenový strop pro tuto položku." xr:uid="{00000000-0002-0000-0400-000034000000}">
          <x14:formula1>
            <xm:f>Výpočty!AD75</xm:f>
          </x14:formula1>
          <xm:sqref>Q420</xm:sqref>
        </x14:dataValidation>
        <x14:dataValidation type="decimal" operator="lessThan" allowBlank="1" showInputMessage="1" showErrorMessage="1" error="Není možné zadat hodnotu vyšší než je Cenový strop pro tuto položku." xr:uid="{00000000-0002-0000-0400-000035000000}">
          <x14:formula1>
            <xm:f>Výpočty!Y55</xm:f>
          </x14:formula1>
          <xm:sqref>O334 O327:O328 O330:O331 O324:O325 O339:O343</xm:sqref>
        </x14:dataValidation>
        <x14:dataValidation type="decimal" operator="lessThan" allowBlank="1" showInputMessage="1" showErrorMessage="1" error="Není možné zadat hodnotu vyšší než je Cenový strop pro tuto položku." xr:uid="{00000000-0002-0000-0400-000036000000}">
          <x14:formula1>
            <xm:f>Výpočty!Z55</xm:f>
          </x14:formula1>
          <xm:sqref>Q334 Q327:Q328 Q330:Q331 Q324:Q325 Q339:Q343</xm:sqref>
        </x14:dataValidation>
        <x14:dataValidation type="decimal" operator="lessThan" allowBlank="1" showInputMessage="1" showErrorMessage="1" error="Není možné zadat hodnotu vyšší než je Cenový strop pro tuto položku." xr:uid="{00000000-0002-0000-0400-000037000000}">
          <x14:formula1>
            <xm:f>Výpočty!W55</xm:f>
          </x14:formula1>
          <xm:sqref>F330:F331 F334 F324:F325 F327:F328 F339:F343</xm:sqref>
        </x14:dataValidation>
        <x14:dataValidation type="decimal" operator="lessThan" allowBlank="1" showInputMessage="1" showErrorMessage="1" error="Není možné zadat hodnotu vyšší než je Cenový strop pro tuto položku." xr:uid="{00000000-0002-0000-0400-000038000000}">
          <x14:formula1>
            <xm:f>Výpočty!X55</xm:f>
          </x14:formula1>
          <xm:sqref>H324:H325 H334 H327:H328 H330:H331 H339:H343</xm:sqref>
        </x14:dataValidation>
        <x14:dataValidation type="decimal" operator="lessThanOrEqual" allowBlank="1" showInputMessage="1" showErrorMessage="1" error="Není možné zadat hodnotu vyšší než je Cenový strop pro tuto položku." xr:uid="{00000000-0002-0000-0400-000039000000}">
          <x14:formula1>
            <xm:f>Výpočty!W75</xm:f>
          </x14:formula1>
          <xm:sqref>F344</xm:sqref>
        </x14:dataValidation>
        <x14:dataValidation type="decimal" operator="lessThanOrEqual" allowBlank="1" showInputMessage="1" showErrorMessage="1" error="Není možné zadat hodnotu vyšší než je Cenový strop pro tuto položku." xr:uid="{00000000-0002-0000-0400-00003A000000}">
          <x14:formula1>
            <xm:f>Výpočty!X75</xm:f>
          </x14:formula1>
          <xm:sqref>H344</xm:sqref>
        </x14:dataValidation>
        <x14:dataValidation type="decimal" operator="lessThanOrEqual" allowBlank="1" showInputMessage="1" showErrorMessage="1" error="Není možné zadat hodnotu vyšší než je Cenový strop pro tuto položku." xr:uid="{00000000-0002-0000-0400-00003B000000}">
          <x14:formula1>
            <xm:f>Výpočty!Y75</xm:f>
          </x14:formula1>
          <xm:sqref>O344</xm:sqref>
        </x14:dataValidation>
        <x14:dataValidation type="decimal" operator="lessThanOrEqual" allowBlank="1" showInputMessage="1" showErrorMessage="1" error="Není možné zadat hodnotu vyšší než je Cenový strop pro tuto položku." xr:uid="{00000000-0002-0000-0400-00003C000000}">
          <x14:formula1>
            <xm:f>Výpočty!Z75</xm:f>
          </x14:formula1>
          <xm:sqref>Q344</xm:sqref>
        </x14:dataValidation>
        <x14:dataValidation type="decimal" operator="lessThan" allowBlank="1" showInputMessage="1" showErrorMessage="1" error="Není možné zadat hodnotu vyšší než je Cenový strop pro tuto položku." xr:uid="{00000000-0002-0000-0400-00003D000000}">
          <x14:formula1>
            <xm:f>Výpočty!S55</xm:f>
          </x14:formula1>
          <xm:sqref>F248:F249 F251:F252 F254:F255 F263:F264 F267</xm:sqref>
        </x14:dataValidation>
        <x14:dataValidation type="decimal" operator="lessThan" allowBlank="1" showInputMessage="1" showErrorMessage="1" error="Není možné zadat hodnotu vyšší než je Cenový strop pro tuto položku." xr:uid="{00000000-0002-0000-0400-00003E000000}">
          <x14:formula1>
            <xm:f>Výpočty!T55</xm:f>
          </x14:formula1>
          <xm:sqref>H258 H251:H252 H254:H255 H248:H249 H263:H267</xm:sqref>
        </x14:dataValidation>
        <x14:dataValidation type="decimal" operator="lessThan" allowBlank="1" showInputMessage="1" showErrorMessage="1" error="Není možné zadat hodnotu vyšší než je Cenový strop pro tuto položku." xr:uid="{00000000-0002-0000-0400-00003F000000}">
          <x14:formula1>
            <xm:f>Výpočty!U55</xm:f>
          </x14:formula1>
          <xm:sqref>O258 O251:O252 O254:O255 O248:O249 O263:O267</xm:sqref>
        </x14:dataValidation>
        <x14:dataValidation type="decimal" operator="lessThan" allowBlank="1" showInputMessage="1" showErrorMessage="1" error="Není možné zadat hodnotu vyšší než je Cenový strop pro tuto položku." xr:uid="{00000000-0002-0000-0400-000040000000}">
          <x14:formula1>
            <xm:f>Výpočty!V55</xm:f>
          </x14:formula1>
          <xm:sqref>Q258 Q251:Q252 Q254:Q255 Q248:Q249 Q263:Q267</xm:sqref>
        </x14:dataValidation>
        <x14:dataValidation type="decimal" operator="lessThan" allowBlank="1" showInputMessage="1" showErrorMessage="1" error="Není možné zadat hodnotu vyšší než je Cenový strop pro tuto položku._x000a_" xr:uid="{00000000-0002-0000-0400-000041000000}">
          <x14:formula1>
            <xm:f>Výpočty!S65</xm:f>
          </x14:formula1>
          <xm:sqref>F265:F266 F258</xm:sqref>
        </x14:dataValidation>
        <x14:dataValidation type="decimal" operator="lessThanOrEqual" allowBlank="1" showInputMessage="1" showErrorMessage="1" error="Není možné zadat hodnotu vyšší než je Cenový strop pro tuto položku." xr:uid="{00000000-0002-0000-0400-000042000000}">
          <x14:formula1>
            <xm:f>Výpočty!S75</xm:f>
          </x14:formula1>
          <xm:sqref>F268</xm:sqref>
        </x14:dataValidation>
        <x14:dataValidation type="decimal" operator="lessThanOrEqual" allowBlank="1" showInputMessage="1" showErrorMessage="1" error="Není možné zadat hodnotu vyšší než je Cenový strop pro tuto položku." xr:uid="{00000000-0002-0000-0400-000043000000}">
          <x14:formula1>
            <xm:f>Výpočty!T75</xm:f>
          </x14:formula1>
          <xm:sqref>H268</xm:sqref>
        </x14:dataValidation>
        <x14:dataValidation type="decimal" operator="lessThanOrEqual" allowBlank="1" showInputMessage="1" showErrorMessage="1" error="Není možné zadat hodnotu vyšší než je Cenový strop pro tuto položku." xr:uid="{00000000-0002-0000-0400-000044000000}">
          <x14:formula1>
            <xm:f>Výpočty!U75</xm:f>
          </x14:formula1>
          <xm:sqref>O268</xm:sqref>
        </x14:dataValidation>
        <x14:dataValidation type="decimal" operator="lessThanOrEqual" allowBlank="1" showInputMessage="1" showErrorMessage="1" error="Není možné zadat hodnotu vyšší než je Cenový strop pro tuto položku." xr:uid="{00000000-0002-0000-0400-000045000000}">
          <x14:formula1>
            <xm:f>Výpočty!V75</xm:f>
          </x14:formula1>
          <xm:sqref>Q268</xm:sqref>
        </x14:dataValidation>
        <x14:dataValidation type="decimal" operator="lessThan" allowBlank="1" showInputMessage="1" showErrorMessage="1" error="Není možné zadat hodnotu vyšší než je Cenový strop pro tuto položku." xr:uid="{00000000-0002-0000-0400-000046000000}">
          <x14:formula1>
            <xm:f>Výpočty!O55</xm:f>
          </x14:formula1>
          <xm:sqref>F182 F175:F176 F178:F179 F172:F173 F187:F191</xm:sqref>
        </x14:dataValidation>
        <x14:dataValidation type="decimal" operator="lessThan" allowBlank="1" showInputMessage="1" showErrorMessage="1" error="Není možné zadat hodnotu vyšší než je Cenový strop pro tuto položku." xr:uid="{00000000-0002-0000-0400-000047000000}">
          <x14:formula1>
            <xm:f>Výpočty!P55</xm:f>
          </x14:formula1>
          <xm:sqref>H182 H175:H176 H178:H179 H172:H173 H187:H191</xm:sqref>
        </x14:dataValidation>
        <x14:dataValidation type="decimal" operator="lessThan" allowBlank="1" showInputMessage="1" showErrorMessage="1" error="Není možné zadat hodnotu vyšší než je Cenový strop pro tuto položku." xr:uid="{00000000-0002-0000-0400-000048000000}">
          <x14:formula1>
            <xm:f>Výpočty!Q55</xm:f>
          </x14:formula1>
          <xm:sqref>O182 O175:O176 O178:O179 O172:O173 O187:O191</xm:sqref>
        </x14:dataValidation>
        <x14:dataValidation type="decimal" operator="lessThan" allowBlank="1" showInputMessage="1" showErrorMessage="1" error="Není možné zadat hodnotu vyšší než je Cenový strop pro tuto položku." xr:uid="{00000000-0002-0000-0400-000049000000}">
          <x14:formula1>
            <xm:f>Výpočty!R55</xm:f>
          </x14:formula1>
          <xm:sqref>Q182 Q175:Q176 Q178:Q179 Q172:Q173 Q187:Q191</xm:sqref>
        </x14:dataValidation>
        <x14:dataValidation type="decimal" operator="lessThanOrEqual" allowBlank="1" showInputMessage="1" showErrorMessage="1" error="Není možné zadat hodnotu vyšší než je Cenový strop pro tuto položku." xr:uid="{00000000-0002-0000-0400-00004A000000}">
          <x14:formula1>
            <xm:f>Výpočty!O75</xm:f>
          </x14:formula1>
          <xm:sqref>F192</xm:sqref>
        </x14:dataValidation>
        <x14:dataValidation type="decimal" operator="lessThanOrEqual" allowBlank="1" showInputMessage="1" showErrorMessage="1" error="Není možné zadat hodnotu vyšší než je Cenový strop pro tuto položku." xr:uid="{00000000-0002-0000-0400-00004B000000}">
          <x14:formula1>
            <xm:f>Výpočty!P75</xm:f>
          </x14:formula1>
          <xm:sqref>H192</xm:sqref>
        </x14:dataValidation>
        <x14:dataValidation type="decimal" operator="lessThanOrEqual" allowBlank="1" showInputMessage="1" showErrorMessage="1" error="Není možné zadat hodnotu vyšší než je Cenový strop pro tuto položku." xr:uid="{00000000-0002-0000-0400-00004C000000}">
          <x14:formula1>
            <xm:f>Výpočty!Q75</xm:f>
          </x14:formula1>
          <xm:sqref>O192</xm:sqref>
        </x14:dataValidation>
        <x14:dataValidation type="decimal" operator="lessThanOrEqual" allowBlank="1" showInputMessage="1" showErrorMessage="1" error="Není možné zadat hodnotu vyšší než je Cenový strop pro tuto položku." xr:uid="{00000000-0002-0000-0400-00004D000000}">
          <x14:formula1>
            <xm:f>Výpočty!R75</xm:f>
          </x14:formula1>
          <xm:sqref>Q192</xm:sqref>
        </x14:dataValidation>
        <x14:dataValidation type="decimal" operator="lessThan" allowBlank="1" showInputMessage="1" showErrorMessage="1" error="Není možné zadat hodnotu vyšší než je Cenový strop pro tuto položku." xr:uid="{00000000-0002-0000-0400-00004E000000}">
          <x14:formula1>
            <xm:f>Výpočty!K55</xm:f>
          </x14:formula1>
          <xm:sqref>F111:F112 F96:F97 F99:F100 F102:F103 F106</xm:sqref>
        </x14:dataValidation>
        <x14:dataValidation type="decimal" operator="lessThan" allowBlank="1" showInputMessage="1" showErrorMessage="1" error="Není možné zadat hodnotu vyšší než je Cenový strop pro tuto položku." xr:uid="{00000000-0002-0000-0400-00004F000000}">
          <x14:formula1>
            <xm:f>Výpočty!L55</xm:f>
          </x14:formula1>
          <xm:sqref>H111:H112 H96:H97 H99:H100 H102:H103 H115</xm:sqref>
        </x14:dataValidation>
        <x14:dataValidation type="decimal" operator="lessThan" allowBlank="1" showInputMessage="1" showErrorMessage="1" error="Není možné zadat hodnotu vyšší než je Cenový strop pro tuto položku._x000a_" xr:uid="{00000000-0002-0000-0400-000050000000}">
          <x14:formula1>
            <xm:f>Výpočty!M56</xm:f>
          </x14:formula1>
          <xm:sqref>O106 O97 O99 O102 O113:O115</xm:sqref>
        </x14:dataValidation>
        <x14:dataValidation type="decimal" operator="lessThan" allowBlank="1" showInputMessage="1" showErrorMessage="1" error="Není možné zadat hodnotu vyšší než je Cenový strop pro tuto položku." xr:uid="{00000000-0002-0000-0400-000051000000}">
          <x14:formula1>
            <xm:f>Výpočty!N55</xm:f>
          </x14:formula1>
          <xm:sqref>Q106 Q96:Q97 Q99:Q100 Q102:Q103 Q111:Q115</xm:sqref>
        </x14:dataValidation>
        <x14:dataValidation type="decimal" operator="lessThan" allowBlank="1" showInputMessage="1" showErrorMessage="1" error="Není možné zadat hodnotu vyšší než je Cenový strop pro tuto položku." xr:uid="{00000000-0002-0000-0400-000052000000}">
          <x14:formula1>
            <xm:f>Výpočty!M55</xm:f>
          </x14:formula1>
          <xm:sqref>O111:O112 O100 O103 O96</xm:sqref>
        </x14:dataValidation>
        <x14:dataValidation type="decimal" operator="lessThan" allowBlank="1" showInputMessage="1" showErrorMessage="1" error="Není možné zadat hodnotu vyšší než je Cenový strop pro tuto položku." xr:uid="{00000000-0002-0000-0400-000053000000}">
          <x14:formula1>
            <xm:f>Výpočty!K73</xm:f>
          </x14:formula1>
          <xm:sqref>F115</xm:sqref>
        </x14:dataValidation>
        <x14:dataValidation type="decimal" operator="lessThan" allowBlank="1" showInputMessage="1" showErrorMessage="1" error="Není možné zadat hodnotu vyšší než je Cenový strop pro tuto položku._x000a_" xr:uid="{00000000-0002-0000-0400-000054000000}">
          <x14:formula1>
            <xm:f>Výpočty!L65</xm:f>
          </x14:formula1>
          <xm:sqref>H106</xm:sqref>
        </x14:dataValidation>
        <x14:dataValidation type="decimal" operator="lessThanOrEqual" allowBlank="1" showInputMessage="1" showErrorMessage="1" error="Není možné zadat hodnotu vyšší než je Cenový strop pro tuto položku." xr:uid="{00000000-0002-0000-0400-000055000000}">
          <x14:formula1>
            <xm:f>Výpočty!K75</xm:f>
          </x14:formula1>
          <xm:sqref>F116</xm:sqref>
        </x14:dataValidation>
        <x14:dataValidation type="decimal" operator="lessThanOrEqual" allowBlank="1" showInputMessage="1" showErrorMessage="1" error="Není možné zadat hodnotu vyšší než je Cenový strop pro tuto položku." xr:uid="{00000000-0002-0000-0400-000056000000}">
          <x14:formula1>
            <xm:f>Výpočty!L75</xm:f>
          </x14:formula1>
          <xm:sqref>H116</xm:sqref>
        </x14:dataValidation>
        <x14:dataValidation type="decimal" operator="lessThanOrEqual" allowBlank="1" showInputMessage="1" showErrorMessage="1" error="Není možné zadat hodnotu vyšší než je Cenový strop pro tuto položku._x000a_" xr:uid="{00000000-0002-0000-0400-000057000000}">
          <x14:formula1>
            <xm:f>Výpočty!M75</xm:f>
          </x14:formula1>
          <xm:sqref>O116</xm:sqref>
        </x14:dataValidation>
        <x14:dataValidation type="decimal" operator="lessThanOrEqual" allowBlank="1" showInputMessage="1" showErrorMessage="1" error="Není možné zadat hodnotu vyšší než je Cenový strop pro tuto položku." xr:uid="{00000000-0002-0000-0400-000058000000}">
          <x14:formula1>
            <xm:f>Výpočty!N75</xm:f>
          </x14:formula1>
          <xm:sqref>Q116</xm:sqref>
        </x14:dataValidation>
        <x14:dataValidation type="decimal" operator="lessThan" allowBlank="1" showInputMessage="1" showErrorMessage="1" error="Není možné zadat hodnotu vyšší než je Cenový strop pro tuto položku." xr:uid="{00000000-0002-0000-0400-000059000000}">
          <x14:formula1>
            <xm:f>Výpočty!J55</xm:f>
          </x14:formula1>
          <xm:sqref>Q23:Q24 Q26:Q27 Q20:Q21 Q30 Q35:Q39</xm:sqref>
        </x14:dataValidation>
        <x14:dataValidation type="decimal" operator="lessThan" allowBlank="1" showInputMessage="1" showErrorMessage="1" error="Není možné zadat hodnotu vyšší než je Cenový strop pro tuto položku." xr:uid="{00000000-0002-0000-0400-00005A000000}">
          <x14:formula1>
            <xm:f>Výpočty!I55</xm:f>
          </x14:formula1>
          <xm:sqref>O30 O23:O24 O26:O27 O20:O21 O35:O39</xm:sqref>
        </x14:dataValidation>
        <x14:dataValidation type="decimal" operator="lessThan" allowBlank="1" showInputMessage="1" showErrorMessage="1" error="Není možné zadat hodnotu vyšší než je Cenový strop pro tuto položku." xr:uid="{00000000-0002-0000-0400-00005B000000}">
          <x14:formula1>
            <xm:f>Výpočty!G55</xm:f>
          </x14:formula1>
          <xm:sqref>F35:F36 F20:F21 F23:F24 F26:F27 F39</xm:sqref>
        </x14:dataValidation>
        <x14:dataValidation type="decimal" operator="lessThan" allowBlank="1" showInputMessage="1" showErrorMessage="1" error="Není možné zadat hodnotu vyšší než je Cenový strop pro tuto položku." xr:uid="{00000000-0002-0000-0400-00005C000000}">
          <x14:formula1>
            <xm:f>Výpočty!H55</xm:f>
          </x14:formula1>
          <xm:sqref>H26:H27 H30 H20:H21 H23:H24 H35:H39</xm:sqref>
        </x14:dataValidation>
        <x14:dataValidation type="decimal" operator="lessThan" allowBlank="1" showInputMessage="1" showErrorMessage="1" error="Není možné zadat hodnotu vyšší než je Cenový strop pro tuto položku._x000a__x000a_" xr:uid="{00000000-0002-0000-0400-00005D000000}">
          <x14:formula1>
            <xm:f>Výpočty!G65</xm:f>
          </x14:formula1>
          <xm:sqref>F37:F38 F30</xm:sqref>
        </x14:dataValidation>
        <x14:dataValidation type="decimal" operator="lessThanOrEqual" allowBlank="1" showInputMessage="1" showErrorMessage="1" error="Není možné zadat hodnotu vyšší než je Cenový strop pro tuto položku." xr:uid="{00000000-0002-0000-0400-00005E000000}">
          <x14:formula1>
            <xm:f>Výpočty!I75</xm:f>
          </x14:formula1>
          <xm:sqref>O40</xm:sqref>
        </x14:dataValidation>
        <x14:dataValidation type="decimal" operator="lessThanOrEqual" allowBlank="1" showInputMessage="1" showErrorMessage="1" error="Není možné zadat hodnotu vyšší než je Cenový strop pro tuto položku." xr:uid="{00000000-0002-0000-0400-00005F000000}">
          <x14:formula1>
            <xm:f>Výpočty!G75</xm:f>
          </x14:formula1>
          <xm:sqref>F40</xm:sqref>
        </x14:dataValidation>
        <x14:dataValidation type="decimal" operator="lessThanOrEqual" allowBlank="1" showInputMessage="1" showErrorMessage="1" error="Není možné zadat hodnotu vyšší než je Cenový strop pro tuto položku." xr:uid="{00000000-0002-0000-0400-000060000000}">
          <x14:formula1>
            <xm:f>Výpočty!H75</xm:f>
          </x14:formula1>
          <xm:sqref>H40</xm:sqref>
        </x14:dataValidation>
        <x14:dataValidation type="decimal" operator="lessThanOrEqual" allowBlank="1" showInputMessage="1" showErrorMessage="1" error="Není možné zadat hodnotu vyšší než je Cenový strop pro tuto položku." xr:uid="{00000000-0002-0000-0400-000061000000}">
          <x14:formula1>
            <xm:f>Výpočty!J75</xm:f>
          </x14:formula1>
          <xm:sqref>Q40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8"/>
  <dimension ref="B1:F13"/>
  <sheetViews>
    <sheetView zoomScaleNormal="100" workbookViewId="0">
      <selection activeCell="D11" sqref="D11"/>
    </sheetView>
  </sheetViews>
  <sheetFormatPr defaultRowHeight="15" x14ac:dyDescent="0.25"/>
  <cols>
    <col min="2" max="2" width="6.42578125" customWidth="1"/>
    <col min="3" max="3" width="52.7109375" customWidth="1"/>
    <col min="4" max="4" width="15.7109375" customWidth="1"/>
    <col min="5" max="6" width="16.7109375" customWidth="1"/>
  </cols>
  <sheetData>
    <row r="1" spans="2:6" ht="15.75" thickBot="1" x14ac:dyDescent="0.3"/>
    <row r="2" spans="2:6" ht="21" thickBot="1" x14ac:dyDescent="0.3">
      <c r="B2" s="1112" t="s">
        <v>362</v>
      </c>
      <c r="C2" s="1113"/>
      <c r="D2" s="1113"/>
      <c r="E2" s="1113"/>
      <c r="F2" s="1114"/>
    </row>
    <row r="3" spans="2:6" x14ac:dyDescent="0.25">
      <c r="B3" s="1115"/>
      <c r="C3" s="1116" t="s">
        <v>71</v>
      </c>
      <c r="D3" s="1116" t="s">
        <v>363</v>
      </c>
      <c r="E3" s="503" t="s">
        <v>3</v>
      </c>
      <c r="F3" s="504" t="s">
        <v>4</v>
      </c>
    </row>
    <row r="4" spans="2:6" x14ac:dyDescent="0.25">
      <c r="B4" s="1115"/>
      <c r="C4" s="1116"/>
      <c r="D4" s="1116"/>
      <c r="E4" s="505" t="s">
        <v>7</v>
      </c>
      <c r="F4" s="506" t="s">
        <v>7</v>
      </c>
    </row>
    <row r="5" spans="2:6" ht="15.75" thickBot="1" x14ac:dyDescent="0.3">
      <c r="B5" s="507">
        <v>1</v>
      </c>
      <c r="C5" s="508">
        <v>2</v>
      </c>
      <c r="D5" s="508" t="s">
        <v>95</v>
      </c>
      <c r="E5" s="508">
        <v>3</v>
      </c>
      <c r="F5" s="509">
        <v>4</v>
      </c>
    </row>
    <row r="6" spans="2:6" ht="28.5" x14ac:dyDescent="0.25">
      <c r="B6" s="510" t="s">
        <v>364</v>
      </c>
      <c r="C6" s="511" t="s">
        <v>365</v>
      </c>
      <c r="D6" s="512" t="s">
        <v>109</v>
      </c>
      <c r="E6" s="513"/>
      <c r="F6" s="514"/>
    </row>
    <row r="7" spans="2:6" ht="28.5" x14ac:dyDescent="0.25">
      <c r="B7" s="515" t="s">
        <v>366</v>
      </c>
      <c r="C7" s="516" t="s">
        <v>367</v>
      </c>
      <c r="D7" s="517" t="s">
        <v>77</v>
      </c>
      <c r="E7" s="518" t="str">
        <f>IFERROR(+(E6/#REF!)*100,"  ")</f>
        <v xml:space="preserve">  </v>
      </c>
      <c r="F7" s="519" t="str">
        <f>IFERROR(+(F6/#REF!)*100,"  ")</f>
        <v xml:space="preserve">  </v>
      </c>
    </row>
    <row r="8" spans="2:6" ht="28.5" x14ac:dyDescent="0.25">
      <c r="B8" s="515" t="s">
        <v>368</v>
      </c>
      <c r="C8" s="516" t="s">
        <v>369</v>
      </c>
      <c r="D8" s="517" t="s">
        <v>109</v>
      </c>
      <c r="E8" s="520" t="str">
        <f>IF(E6&lt;&gt;0,#REF!-E6," ")</f>
        <v xml:space="preserve"> </v>
      </c>
      <c r="F8" s="521" t="str">
        <f>IF(F6&lt;&gt;0,#REF!-F6," ")</f>
        <v xml:space="preserve"> </v>
      </c>
    </row>
    <row r="9" spans="2:6" x14ac:dyDescent="0.25">
      <c r="B9" s="515" t="s">
        <v>370</v>
      </c>
      <c r="C9" s="516" t="s">
        <v>371</v>
      </c>
      <c r="D9" s="517" t="s">
        <v>109</v>
      </c>
      <c r="E9" s="520" t="str">
        <f>IFERROR(IF(E7&lt;&gt;0,#REF!*(1-(E7/100))," "),"  ")</f>
        <v xml:space="preserve">  </v>
      </c>
      <c r="F9" s="521" t="str">
        <f>IFERROR(IF(F7&lt;&gt;0,#REF!*(1-(F7/100))," "),"  ")</f>
        <v xml:space="preserve">  </v>
      </c>
    </row>
    <row r="10" spans="2:6" x14ac:dyDescent="0.25">
      <c r="B10" s="515" t="s">
        <v>372</v>
      </c>
      <c r="C10" s="516" t="s">
        <v>373</v>
      </c>
      <c r="D10" s="517" t="s">
        <v>109</v>
      </c>
      <c r="E10" s="520" t="str">
        <f>IFERROR(+E8-E9," ")</f>
        <v xml:space="preserve"> </v>
      </c>
      <c r="F10" s="521" t="str">
        <f>IFERROR(+F8-F9," ")</f>
        <v xml:space="preserve"> </v>
      </c>
    </row>
    <row r="11" spans="2:6" ht="15.75" x14ac:dyDescent="0.25">
      <c r="B11" s="515" t="s">
        <v>374</v>
      </c>
      <c r="C11" s="522" t="s">
        <v>375</v>
      </c>
      <c r="D11" s="517" t="s">
        <v>376</v>
      </c>
      <c r="E11" s="518" t="str">
        <f>IFERROR(FLOOR(+E8/#REF!,0.01)," ")</f>
        <v xml:space="preserve"> </v>
      </c>
      <c r="F11" s="519" t="str">
        <f>IFERROR(FLOOR(+F8/#REF!,0.01)," ")</f>
        <v xml:space="preserve"> </v>
      </c>
    </row>
    <row r="12" spans="2:6" ht="15.75" x14ac:dyDescent="0.25">
      <c r="B12" s="515" t="s">
        <v>377</v>
      </c>
      <c r="C12" s="522" t="s">
        <v>378</v>
      </c>
      <c r="D12" s="517" t="s">
        <v>376</v>
      </c>
      <c r="E12" s="518" t="str">
        <f>IFERROR(FLOOR(E11*1.1,0.01),"  ")</f>
        <v xml:space="preserve">  </v>
      </c>
      <c r="F12" s="519" t="str">
        <f>IFERROR(FLOOR(F11*1.1,0.01),"  ")</f>
        <v xml:space="preserve">  </v>
      </c>
    </row>
    <row r="13" spans="2:6" ht="47.25" customHeight="1" thickBot="1" x14ac:dyDescent="0.3">
      <c r="B13" s="523" t="s">
        <v>379</v>
      </c>
      <c r="C13" s="1117" t="s">
        <v>380</v>
      </c>
      <c r="D13" s="1118"/>
      <c r="E13" s="524"/>
      <c r="F13" s="525"/>
    </row>
  </sheetData>
  <mergeCells count="5">
    <mergeCell ref="B2:F2"/>
    <mergeCell ref="B3:B4"/>
    <mergeCell ref="C3:C4"/>
    <mergeCell ref="D3:D4"/>
    <mergeCell ref="C13:D13"/>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9">
    <tabColor theme="0"/>
  </sheetPr>
  <dimension ref="A1:AP937"/>
  <sheetViews>
    <sheetView zoomScale="55" zoomScaleNormal="55" workbookViewId="0">
      <selection activeCell="B2" sqref="B2:H2"/>
    </sheetView>
  </sheetViews>
  <sheetFormatPr defaultColWidth="0" defaultRowHeight="15" zeroHeight="1" x14ac:dyDescent="0.25"/>
  <cols>
    <col min="1" max="1" width="2.7109375" customWidth="1"/>
    <col min="2" max="2" width="5.140625" customWidth="1"/>
    <col min="3" max="3" width="37.85546875" customWidth="1"/>
    <col min="4" max="8" width="9.140625" customWidth="1"/>
    <col min="9" max="10" width="2.7109375" customWidth="1"/>
    <col min="11" max="11" width="5.140625" customWidth="1"/>
    <col min="12" max="12" width="37.85546875" customWidth="1"/>
    <col min="13" max="17" width="9.140625" customWidth="1"/>
    <col min="18" max="18" width="2.5703125" customWidth="1"/>
    <col min="19" max="19" width="2.7109375" customWidth="1"/>
    <col min="20" max="20" width="5.7109375" customWidth="1"/>
    <col min="21" max="21" width="37.85546875" customWidth="1"/>
    <col min="22" max="28" width="9.140625" customWidth="1"/>
    <col min="29" max="29" width="2.7109375" customWidth="1"/>
    <col min="30" max="37" width="9.140625" hidden="1" customWidth="1"/>
    <col min="38" max="42" width="0" hidden="1" customWidth="1"/>
    <col min="43" max="16384" width="9.140625" hidden="1"/>
  </cols>
  <sheetData>
    <row r="1" spans="2:34" x14ac:dyDescent="0.25">
      <c r="B1" s="29"/>
      <c r="AC1" s="146"/>
      <c r="AD1" s="146"/>
      <c r="AE1" s="146"/>
      <c r="AF1" s="146"/>
      <c r="AG1" s="146"/>
      <c r="AH1" s="146"/>
    </row>
    <row r="2" spans="2:34" x14ac:dyDescent="0.25">
      <c r="B2" s="899" t="s">
        <v>316</v>
      </c>
      <c r="C2" s="900"/>
      <c r="D2" s="900"/>
      <c r="E2" s="900"/>
      <c r="F2" s="900"/>
      <c r="G2" s="900"/>
      <c r="H2" s="900"/>
      <c r="K2" s="899" t="s">
        <v>317</v>
      </c>
      <c r="L2" s="900"/>
      <c r="M2" s="900"/>
      <c r="N2" s="900"/>
      <c r="O2" s="900"/>
      <c r="P2" s="900"/>
      <c r="Q2" s="900"/>
      <c r="T2" s="899" t="s">
        <v>162</v>
      </c>
      <c r="U2" s="900"/>
      <c r="V2" s="900"/>
      <c r="W2" s="900"/>
      <c r="X2" s="900"/>
      <c r="Y2" s="900"/>
      <c r="Z2" s="900"/>
      <c r="AA2" s="900"/>
      <c r="AB2" s="900"/>
      <c r="AC2" s="146"/>
      <c r="AD2" s="146"/>
      <c r="AE2" s="146"/>
      <c r="AF2" s="146"/>
      <c r="AG2" s="338"/>
      <c r="AH2" s="338"/>
    </row>
    <row r="3" spans="2:34" x14ac:dyDescent="0.25">
      <c r="C3" s="272"/>
      <c r="E3" s="25"/>
      <c r="F3" s="25"/>
      <c r="L3" s="25"/>
      <c r="N3" s="25"/>
      <c r="T3" s="1079" t="s">
        <v>318</v>
      </c>
      <c r="U3" s="1079"/>
      <c r="V3" s="1079"/>
      <c r="W3" s="1079"/>
      <c r="X3" s="1079"/>
      <c r="Y3" s="1079"/>
      <c r="Z3" s="1079"/>
      <c r="AA3" s="1079"/>
      <c r="AB3" s="1079"/>
      <c r="AC3" s="146"/>
      <c r="AD3" s="146"/>
      <c r="AE3" s="146"/>
      <c r="AF3" s="146"/>
      <c r="AG3" s="146"/>
      <c r="AH3" s="146"/>
    </row>
    <row r="4" spans="2:34" x14ac:dyDescent="0.25">
      <c r="C4" s="272" t="s">
        <v>103</v>
      </c>
      <c r="D4" s="274">
        <f>'Kalkulace a Porovnání'!D4</f>
        <v>2024</v>
      </c>
      <c r="E4" s="25"/>
      <c r="F4" s="272" t="s">
        <v>221</v>
      </c>
      <c r="G4" s="275">
        <f>'Kalkulace a Porovnání'!G4</f>
        <v>45383</v>
      </c>
      <c r="H4" s="275" t="str">
        <f>'Kalkulace a Porovnání'!H4</f>
        <v>- 31.12.2024</v>
      </c>
      <c r="L4" s="272" t="s">
        <v>103</v>
      </c>
      <c r="M4" s="274">
        <f>'Kalkulace a Porovnání'!M4</f>
        <v>2024</v>
      </c>
      <c r="O4" s="272" t="s">
        <v>221</v>
      </c>
      <c r="P4" s="275" t="str">
        <f>'Kalkulace a Porovnání'!P4</f>
        <v>-</v>
      </c>
      <c r="Q4" s="275" t="str">
        <f>'Kalkulace a Porovnání'!Q4</f>
        <v xml:space="preserve"> </v>
      </c>
      <c r="T4" s="333"/>
      <c r="U4" s="333"/>
      <c r="V4" s="342" t="s">
        <v>147</v>
      </c>
      <c r="W4" s="274">
        <f>'Kalkulace a Porovnání'!W4</f>
        <v>2024</v>
      </c>
      <c r="Z4" s="272" t="s">
        <v>221</v>
      </c>
      <c r="AA4" s="275">
        <f>'Kalkulace a Porovnání'!AA4</f>
        <v>45383</v>
      </c>
      <c r="AB4" s="275" t="str">
        <f>'Kalkulace a Porovnání'!AB4</f>
        <v>- 31.12.2024</v>
      </c>
      <c r="AC4" s="146"/>
      <c r="AD4" s="146"/>
      <c r="AE4" s="146"/>
      <c r="AF4" s="146"/>
      <c r="AG4" s="146"/>
      <c r="AH4" s="146"/>
    </row>
    <row r="5" spans="2:34" x14ac:dyDescent="0.25">
      <c r="B5" s="13" t="s">
        <v>66</v>
      </c>
      <c r="C5" s="13" t="s">
        <v>89</v>
      </c>
      <c r="D5" s="1061" t="str">
        <f>'Kalkulace a Porovnání'!D5</f>
        <v>PRVOK s.r.o., IČ 281 28 257</v>
      </c>
      <c r="E5" s="1062"/>
      <c r="F5" s="1062"/>
      <c r="G5" s="1062"/>
      <c r="H5" s="1063"/>
      <c r="K5" s="13" t="s">
        <v>66</v>
      </c>
      <c r="L5" s="13" t="s">
        <v>89</v>
      </c>
      <c r="M5" s="1061" t="str">
        <f>'Kalkulace a Porovnání'!M5</f>
        <v>PRVOK s.r.o., IČ 281 28 257</v>
      </c>
      <c r="N5" s="1062"/>
      <c r="O5" s="1062"/>
      <c r="P5" s="1062"/>
      <c r="Q5" s="1063"/>
      <c r="T5" s="13" t="s">
        <v>66</v>
      </c>
      <c r="U5" s="13" t="s">
        <v>89</v>
      </c>
      <c r="V5" s="1080" t="str">
        <f>'Kalkulace a Porovnání'!V5</f>
        <v>PRVOK s.r.o., IČ 281 28 257</v>
      </c>
      <c r="W5" s="1081"/>
      <c r="X5" s="1081"/>
      <c r="Y5" s="1081"/>
      <c r="Z5" s="1081"/>
      <c r="AA5" s="1081"/>
      <c r="AB5" s="1081"/>
      <c r="AC5" s="146"/>
      <c r="AD5" s="146"/>
    </row>
    <row r="6" spans="2:34" x14ac:dyDescent="0.25">
      <c r="B6" s="13" t="s">
        <v>84</v>
      </c>
      <c r="C6" s="13" t="s">
        <v>90</v>
      </c>
      <c r="D6" s="1061" t="str">
        <f>'Kalkulace a Porovnání'!D6</f>
        <v>PRVOK s.r.o., IČ 281 28 257</v>
      </c>
      <c r="E6" s="1062"/>
      <c r="F6" s="1062"/>
      <c r="G6" s="1062"/>
      <c r="H6" s="1063"/>
      <c r="K6" s="13" t="s">
        <v>84</v>
      </c>
      <c r="L6" s="13" t="s">
        <v>90</v>
      </c>
      <c r="M6" s="1061" t="str">
        <f>'Kalkulace a Porovnání'!M6</f>
        <v>PRVOK s.r.o., IČ 281 28 257</v>
      </c>
      <c r="N6" s="1062"/>
      <c r="O6" s="1062"/>
      <c r="P6" s="1062"/>
      <c r="Q6" s="1063"/>
      <c r="T6" s="13" t="s">
        <v>84</v>
      </c>
      <c r="U6" s="13" t="s">
        <v>90</v>
      </c>
      <c r="V6" s="1080" t="str">
        <f>'Kalkulace a Porovnání'!V6</f>
        <v>PRVOK s.r.o., IČ 281 28 257</v>
      </c>
      <c r="W6" s="1081"/>
      <c r="X6" s="1081"/>
      <c r="Y6" s="1081"/>
      <c r="Z6" s="1081"/>
      <c r="AA6" s="1081"/>
      <c r="AB6" s="1081"/>
      <c r="AC6" s="146"/>
      <c r="AD6" s="146"/>
    </row>
    <row r="7" spans="2:34" x14ac:dyDescent="0.25">
      <c r="B7" s="13" t="s">
        <v>85</v>
      </c>
      <c r="C7" s="13" t="s">
        <v>91</v>
      </c>
      <c r="D7" s="1061" t="str">
        <f>'Kalkulace a Porovnání'!D7</f>
        <v>Obec Benešov nad Černou, IČ 00245780</v>
      </c>
      <c r="E7" s="1062"/>
      <c r="F7" s="1062"/>
      <c r="G7" s="1062"/>
      <c r="H7" s="1063"/>
      <c r="K7" s="13" t="s">
        <v>85</v>
      </c>
      <c r="L7" s="13" t="s">
        <v>91</v>
      </c>
      <c r="M7" s="1061" t="str">
        <f>'Kalkulace a Porovnání'!M7</f>
        <v>Obec Benešov nad Černou, IČ 00245780</v>
      </c>
      <c r="N7" s="1062"/>
      <c r="O7" s="1062"/>
      <c r="P7" s="1062"/>
      <c r="Q7" s="1063"/>
      <c r="T7" s="13" t="s">
        <v>85</v>
      </c>
      <c r="U7" s="13" t="s">
        <v>91</v>
      </c>
      <c r="V7" s="1080" t="str">
        <f>'Kalkulace a Porovnání'!V7</f>
        <v>Obec Benešov nad Černou, IČ 00245780</v>
      </c>
      <c r="W7" s="1081"/>
      <c r="X7" s="1081"/>
      <c r="Y7" s="1081"/>
      <c r="Z7" s="1081"/>
      <c r="AA7" s="1081"/>
      <c r="AB7" s="1081"/>
      <c r="AC7" s="146"/>
      <c r="AD7" s="146"/>
    </row>
    <row r="8" spans="2:34" x14ac:dyDescent="0.25">
      <c r="B8" s="13" t="s">
        <v>86</v>
      </c>
      <c r="C8" s="13" t="s">
        <v>93</v>
      </c>
      <c r="D8" s="1061" t="str">
        <f>'Kalkulace a Porovnání'!D8</f>
        <v>A</v>
      </c>
      <c r="E8" s="1062"/>
      <c r="F8" s="1062"/>
      <c r="G8" s="1062"/>
      <c r="H8" s="1063"/>
      <c r="K8" s="13" t="s">
        <v>86</v>
      </c>
      <c r="L8" s="13" t="s">
        <v>93</v>
      </c>
      <c r="M8" s="1061" t="str">
        <f>'Kalkulace a Porovnání'!M8</f>
        <v>A</v>
      </c>
      <c r="N8" s="1062"/>
      <c r="O8" s="1062"/>
      <c r="P8" s="1062"/>
      <c r="Q8" s="1063"/>
      <c r="T8" s="13" t="s">
        <v>86</v>
      </c>
      <c r="U8" s="13" t="s">
        <v>93</v>
      </c>
      <c r="V8" s="1080" t="str">
        <f>'Kalkulace a Porovnání'!V8</f>
        <v>A</v>
      </c>
      <c r="W8" s="1081"/>
      <c r="X8" s="1081"/>
      <c r="Y8" s="1081"/>
      <c r="Z8" s="1081"/>
      <c r="AA8" s="1081"/>
      <c r="AB8" s="1081"/>
      <c r="AC8" s="146"/>
      <c r="AD8" s="146"/>
    </row>
    <row r="9" spans="2:34" x14ac:dyDescent="0.25">
      <c r="B9" s="13" t="s">
        <v>87</v>
      </c>
      <c r="C9" s="13" t="s">
        <v>92</v>
      </c>
      <c r="D9" s="1061">
        <f>'Kalkulace a Porovnání'!D9</f>
        <v>1</v>
      </c>
      <c r="E9" s="1062"/>
      <c r="F9" s="1062"/>
      <c r="G9" s="1062"/>
      <c r="H9" s="1063"/>
      <c r="K9" s="13" t="s">
        <v>87</v>
      </c>
      <c r="L9" s="13" t="s">
        <v>92</v>
      </c>
      <c r="M9" s="1061">
        <f>'Kalkulace a Porovnání'!M9</f>
        <v>1</v>
      </c>
      <c r="N9" s="1062"/>
      <c r="O9" s="1062"/>
      <c r="P9" s="1062"/>
      <c r="Q9" s="1063"/>
      <c r="T9" s="13" t="s">
        <v>87</v>
      </c>
      <c r="U9" s="13" t="s">
        <v>92</v>
      </c>
      <c r="V9" s="1080">
        <f>'Kalkulace a Porovnání'!V9</f>
        <v>1</v>
      </c>
      <c r="W9" s="1081"/>
      <c r="X9" s="1081"/>
      <c r="Y9" s="1081"/>
      <c r="Z9" s="1081"/>
      <c r="AA9" s="1081"/>
      <c r="AB9" s="1081"/>
      <c r="AC9" s="146"/>
      <c r="AD9" s="146"/>
    </row>
    <row r="10" spans="2:34" x14ac:dyDescent="0.25">
      <c r="B10" s="13" t="s">
        <v>88</v>
      </c>
      <c r="C10" s="13" t="s">
        <v>94</v>
      </c>
      <c r="D10" s="1061" t="str">
        <f>'Kalkulace a Porovnání'!D10</f>
        <v>[vyplnit]</v>
      </c>
      <c r="E10" s="1062"/>
      <c r="F10" s="1062"/>
      <c r="G10" s="1062"/>
      <c r="H10" s="1063"/>
      <c r="K10" s="13" t="s">
        <v>88</v>
      </c>
      <c r="L10" s="13" t="s">
        <v>94</v>
      </c>
      <c r="M10" s="1061" t="str">
        <f>'Kalkulace a Porovnání'!M10</f>
        <v xml:space="preserve"> </v>
      </c>
      <c r="N10" s="1062"/>
      <c r="O10" s="1062"/>
      <c r="P10" s="1062"/>
      <c r="Q10" s="1063"/>
      <c r="T10" s="13" t="s">
        <v>88</v>
      </c>
      <c r="U10" s="13" t="s">
        <v>94</v>
      </c>
      <c r="V10" s="1080" t="str">
        <f>'Kalkulace a Porovnání'!V10</f>
        <v xml:space="preserve"> </v>
      </c>
      <c r="W10" s="1081"/>
      <c r="X10" s="1081"/>
      <c r="Y10" s="1081"/>
      <c r="Z10" s="1081"/>
      <c r="AA10" s="1081"/>
      <c r="AB10" s="1081"/>
      <c r="AC10" s="146"/>
      <c r="AD10" s="146"/>
    </row>
    <row r="11" spans="2:34" x14ac:dyDescent="0.25">
      <c r="AC11" s="146"/>
    </row>
    <row r="12" spans="2:34" ht="15" customHeight="1" x14ac:dyDescent="0.25">
      <c r="B12" s="1052" t="s">
        <v>5</v>
      </c>
      <c r="C12" s="884" t="s">
        <v>0</v>
      </c>
      <c r="D12" s="868"/>
      <c r="E12" s="868"/>
      <c r="F12" s="868"/>
      <c r="G12" s="868"/>
      <c r="H12" s="869"/>
      <c r="K12" s="1052" t="s">
        <v>5</v>
      </c>
      <c r="L12" s="884" t="s">
        <v>0</v>
      </c>
      <c r="M12" s="868"/>
      <c r="N12" s="868"/>
      <c r="O12" s="868"/>
      <c r="P12" s="868"/>
      <c r="Q12" s="869"/>
      <c r="T12" s="1052" t="s">
        <v>5</v>
      </c>
      <c r="U12" s="884" t="s">
        <v>0</v>
      </c>
      <c r="V12" s="868"/>
      <c r="W12" s="868"/>
      <c r="X12" s="868"/>
      <c r="Y12" s="868"/>
      <c r="Z12" s="868"/>
      <c r="AA12" s="868"/>
      <c r="AB12" s="869"/>
      <c r="AC12" s="146"/>
    </row>
    <row r="13" spans="2:34" x14ac:dyDescent="0.25">
      <c r="B13" s="1053"/>
      <c r="C13" s="1052" t="s">
        <v>1</v>
      </c>
      <c r="D13" s="1065" t="s">
        <v>133</v>
      </c>
      <c r="E13" s="884" t="s">
        <v>3</v>
      </c>
      <c r="F13" s="868"/>
      <c r="G13" s="884" t="s">
        <v>4</v>
      </c>
      <c r="H13" s="869"/>
      <c r="K13" s="1053"/>
      <c r="L13" s="1052" t="s">
        <v>1</v>
      </c>
      <c r="M13" s="1065" t="s">
        <v>133</v>
      </c>
      <c r="N13" s="884" t="s">
        <v>3</v>
      </c>
      <c r="O13" s="868"/>
      <c r="P13" s="884" t="s">
        <v>4</v>
      </c>
      <c r="Q13" s="869"/>
      <c r="T13" s="1053"/>
      <c r="U13" s="1052" t="s">
        <v>1</v>
      </c>
      <c r="V13" s="1065" t="s">
        <v>133</v>
      </c>
      <c r="W13" s="884" t="s">
        <v>3</v>
      </c>
      <c r="X13" s="868"/>
      <c r="Y13" s="868"/>
      <c r="Z13" s="884" t="s">
        <v>4</v>
      </c>
      <c r="AA13" s="868"/>
      <c r="AB13" s="869"/>
      <c r="AC13" s="146"/>
    </row>
    <row r="14" spans="2:34" x14ac:dyDescent="0.25">
      <c r="B14" s="1053"/>
      <c r="C14" s="1053"/>
      <c r="D14" s="1053"/>
      <c r="E14" s="28">
        <f>'Kalkulace a Porovnání'!E14</f>
        <v>2023</v>
      </c>
      <c r="F14" s="28">
        <f>'Kalkulace a Porovnání'!F14</f>
        <v>2024</v>
      </c>
      <c r="G14" s="28">
        <f>'Kalkulace a Porovnání'!G14</f>
        <v>2023</v>
      </c>
      <c r="H14" s="28">
        <f>'Kalkulace a Porovnání'!H14</f>
        <v>2024</v>
      </c>
      <c r="K14" s="1053"/>
      <c r="L14" s="1053"/>
      <c r="M14" s="1053"/>
      <c r="N14" s="28">
        <f>'Kalkulace a Porovnání'!N14</f>
        <v>2023</v>
      </c>
      <c r="O14" s="28">
        <f>'Kalkulace a Porovnání'!O14</f>
        <v>2024</v>
      </c>
      <c r="P14" s="28">
        <f>'Kalkulace a Porovnání'!P14</f>
        <v>2023</v>
      </c>
      <c r="Q14" s="28">
        <f>'Kalkulace a Porovnání'!Q14</f>
        <v>2024</v>
      </c>
      <c r="T14" s="1053"/>
      <c r="U14" s="1053"/>
      <c r="V14" s="1053"/>
      <c r="W14" s="28">
        <f>'Kalkulace a Porovnání'!W14</f>
        <v>2024</v>
      </c>
      <c r="X14" s="28">
        <f>'Kalkulace a Porovnání'!X14</f>
        <v>2024</v>
      </c>
      <c r="Y14" s="28">
        <f>'Kalkulace a Porovnání'!Y14</f>
        <v>2024</v>
      </c>
      <c r="Z14" s="28">
        <f>'Kalkulace a Porovnání'!Z14</f>
        <v>2024</v>
      </c>
      <c r="AA14" s="28">
        <f>'Kalkulace a Porovnání'!AA14</f>
        <v>2024</v>
      </c>
      <c r="AB14" s="28">
        <f>'Kalkulace a Porovnání'!AB14</f>
        <v>2024</v>
      </c>
      <c r="AC14" s="146"/>
    </row>
    <row r="15" spans="2:34" x14ac:dyDescent="0.25">
      <c r="B15" s="1054"/>
      <c r="C15" s="1054"/>
      <c r="D15" s="1054"/>
      <c r="E15" s="7" t="s">
        <v>151</v>
      </c>
      <c r="F15" s="7" t="s">
        <v>98</v>
      </c>
      <c r="G15" s="7" t="s">
        <v>151</v>
      </c>
      <c r="H15" s="19" t="s">
        <v>98</v>
      </c>
      <c r="K15" s="1054"/>
      <c r="L15" s="1054"/>
      <c r="M15" s="1054"/>
      <c r="N15" s="7" t="s">
        <v>151</v>
      </c>
      <c r="O15" s="7" t="s">
        <v>98</v>
      </c>
      <c r="P15" s="7" t="s">
        <v>151</v>
      </c>
      <c r="Q15" s="19" t="s">
        <v>98</v>
      </c>
      <c r="T15" s="1054"/>
      <c r="U15" s="1054"/>
      <c r="V15" s="1054"/>
      <c r="W15" s="7" t="s">
        <v>150</v>
      </c>
      <c r="X15" s="7" t="s">
        <v>98</v>
      </c>
      <c r="Y15" s="7" t="s">
        <v>149</v>
      </c>
      <c r="Z15" s="7" t="s">
        <v>150</v>
      </c>
      <c r="AA15" s="7" t="s">
        <v>98</v>
      </c>
      <c r="AB15" s="19" t="s">
        <v>149</v>
      </c>
      <c r="AC15" s="146"/>
    </row>
    <row r="16" spans="2:34" x14ac:dyDescent="0.25">
      <c r="B16" s="11">
        <v>1</v>
      </c>
      <c r="C16" s="11">
        <v>2</v>
      </c>
      <c r="D16" s="11" t="s">
        <v>95</v>
      </c>
      <c r="E16" s="11">
        <v>3</v>
      </c>
      <c r="F16" s="11">
        <v>4</v>
      </c>
      <c r="G16" s="11">
        <v>6</v>
      </c>
      <c r="H16" s="22">
        <v>7</v>
      </c>
      <c r="K16" s="11">
        <v>1</v>
      </c>
      <c r="L16" s="11">
        <v>2</v>
      </c>
      <c r="M16" s="11" t="s">
        <v>95</v>
      </c>
      <c r="N16" s="11">
        <v>3</v>
      </c>
      <c r="O16" s="11">
        <v>4</v>
      </c>
      <c r="P16" s="11">
        <v>6</v>
      </c>
      <c r="Q16" s="22">
        <v>7</v>
      </c>
      <c r="T16" s="11">
        <v>1</v>
      </c>
      <c r="U16" s="11">
        <v>2</v>
      </c>
      <c r="V16" s="11" t="s">
        <v>95</v>
      </c>
      <c r="W16" s="11">
        <v>3</v>
      </c>
      <c r="X16" s="11">
        <v>4</v>
      </c>
      <c r="Y16" s="11">
        <v>5</v>
      </c>
      <c r="Z16" s="11">
        <v>6</v>
      </c>
      <c r="AA16" s="11">
        <v>7</v>
      </c>
      <c r="AB16" s="22">
        <v>8</v>
      </c>
      <c r="AC16" s="146"/>
    </row>
    <row r="17" spans="2:37" x14ac:dyDescent="0.25">
      <c r="B17" s="9" t="s">
        <v>8</v>
      </c>
      <c r="C17" s="10" t="s">
        <v>9</v>
      </c>
      <c r="D17" s="11" t="s">
        <v>10</v>
      </c>
      <c r="E17" s="41">
        <f>'Kalkulace a Porovnání'!E17</f>
        <v>0</v>
      </c>
      <c r="F17" s="41">
        <f>'Kalkulace a Porovnání'!F17</f>
        <v>9.0082191277863016E-2</v>
      </c>
      <c r="G17" s="41">
        <f>'Kalkulace a Porovnání'!G17</f>
        <v>0</v>
      </c>
      <c r="H17" s="86">
        <f>'Kalkulace a Porovnání'!H17</f>
        <v>4.5041074871232878E-2</v>
      </c>
      <c r="K17" s="9" t="s">
        <v>8</v>
      </c>
      <c r="L17" s="10" t="s">
        <v>9</v>
      </c>
      <c r="M17" s="11" t="s">
        <v>10</v>
      </c>
      <c r="N17" s="41">
        <f>'Kalkulace a Porovnání'!N17</f>
        <v>0</v>
      </c>
      <c r="O17" s="41">
        <f>'Kalkulace a Porovnání'!O17</f>
        <v>0</v>
      </c>
      <c r="P17" s="41">
        <f>'Kalkulace a Porovnání'!P17</f>
        <v>0</v>
      </c>
      <c r="Q17" s="86">
        <f>'Kalkulace a Porovnání'!Q17</f>
        <v>0</v>
      </c>
      <c r="T17" s="9" t="s">
        <v>8</v>
      </c>
      <c r="U17" s="10" t="s">
        <v>9</v>
      </c>
      <c r="V17" s="11" t="s">
        <v>10</v>
      </c>
      <c r="W17" s="41">
        <f>'Kalkulace a Porovnání'!W17</f>
        <v>0</v>
      </c>
      <c r="X17" s="41">
        <f>'Kalkulace a Porovnání'!X17</f>
        <v>9.0082191277863016E-2</v>
      </c>
      <c r="Y17" s="41">
        <f>'Kalkulace a Porovnání'!Y17</f>
        <v>-9.0082191277863016E-2</v>
      </c>
      <c r="Z17" s="41">
        <f>'Kalkulace a Porovnání'!Z17</f>
        <v>0</v>
      </c>
      <c r="AA17" s="41">
        <f>'Kalkulace a Porovnání'!AA17</f>
        <v>4.5041074871232878E-2</v>
      </c>
      <c r="AB17" s="86">
        <f>'Kalkulace a Porovnání'!AB17</f>
        <v>-4.5041074871232878E-2</v>
      </c>
      <c r="AC17" s="146"/>
    </row>
    <row r="18" spans="2:37" x14ac:dyDescent="0.25">
      <c r="B18" s="12" t="s">
        <v>11</v>
      </c>
      <c r="C18" s="13" t="s">
        <v>12</v>
      </c>
      <c r="D18" s="3" t="s">
        <v>10</v>
      </c>
      <c r="E18" s="44">
        <f>'Kalkulace a Porovnání'!E18</f>
        <v>0</v>
      </c>
      <c r="F18" s="44">
        <f>'Kalkulace a Porovnání'!F18</f>
        <v>6.0054794520547947E-2</v>
      </c>
      <c r="G18" s="44">
        <f>'Kalkulace a Porovnání'!G18</f>
        <v>0</v>
      </c>
      <c r="H18" s="30">
        <f>'Kalkulace a Porovnání'!H18</f>
        <v>0</v>
      </c>
      <c r="K18" s="12" t="s">
        <v>11</v>
      </c>
      <c r="L18" s="13" t="s">
        <v>12</v>
      </c>
      <c r="M18" s="3" t="s">
        <v>10</v>
      </c>
      <c r="N18" s="44">
        <f>'Kalkulace a Porovnání'!N18</f>
        <v>0</v>
      </c>
      <c r="O18" s="44">
        <f>'Kalkulace a Porovnání'!O18</f>
        <v>0</v>
      </c>
      <c r="P18" s="44">
        <f>'Kalkulace a Porovnání'!P18</f>
        <v>0</v>
      </c>
      <c r="Q18" s="30">
        <f>'Kalkulace a Porovnání'!Q18</f>
        <v>0</v>
      </c>
      <c r="T18" s="12" t="s">
        <v>11</v>
      </c>
      <c r="U18" s="13" t="s">
        <v>12</v>
      </c>
      <c r="V18" s="3" t="s">
        <v>10</v>
      </c>
      <c r="W18" s="44">
        <f>'Kalkulace a Porovnání'!W18</f>
        <v>0</v>
      </c>
      <c r="X18" s="44">
        <f>'Kalkulace a Porovnání'!X18</f>
        <v>6.0054794520547947E-2</v>
      </c>
      <c r="Y18" s="44">
        <f>'Kalkulace a Porovnání'!Y18</f>
        <v>-6.0054794520547947E-2</v>
      </c>
      <c r="Z18" s="44">
        <f>'Kalkulace a Porovnání'!Z18</f>
        <v>0</v>
      </c>
      <c r="AA18" s="44">
        <f>'Kalkulace a Porovnání'!AA18</f>
        <v>0</v>
      </c>
      <c r="AB18" s="30">
        <f>'Kalkulace a Porovnání'!AB18</f>
        <v>0</v>
      </c>
      <c r="AC18" s="146"/>
    </row>
    <row r="19" spans="2:37" x14ac:dyDescent="0.25">
      <c r="B19" s="12" t="s">
        <v>13</v>
      </c>
      <c r="C19" s="12" t="s">
        <v>14</v>
      </c>
      <c r="D19" s="3" t="s">
        <v>10</v>
      </c>
      <c r="E19" s="44">
        <f>'Kalkulace a Porovnání'!E19</f>
        <v>0</v>
      </c>
      <c r="F19" s="44">
        <f>'Kalkulace a Porovnání'!F19</f>
        <v>0</v>
      </c>
      <c r="G19" s="44">
        <f>'Kalkulace a Porovnání'!G19</f>
        <v>0</v>
      </c>
      <c r="H19" s="30">
        <f>'Kalkulace a Porovnání'!H19</f>
        <v>0</v>
      </c>
      <c r="K19" s="12" t="s">
        <v>13</v>
      </c>
      <c r="L19" s="12" t="s">
        <v>14</v>
      </c>
      <c r="M19" s="3" t="s">
        <v>10</v>
      </c>
      <c r="N19" s="44">
        <f>'Kalkulace a Porovnání'!N19</f>
        <v>0</v>
      </c>
      <c r="O19" s="44">
        <f>'Kalkulace a Porovnání'!O19</f>
        <v>0</v>
      </c>
      <c r="P19" s="44">
        <f>'Kalkulace a Porovnání'!P19</f>
        <v>0</v>
      </c>
      <c r="Q19" s="30">
        <f>'Kalkulace a Porovnání'!Q19</f>
        <v>0</v>
      </c>
      <c r="T19" s="12" t="s">
        <v>13</v>
      </c>
      <c r="U19" s="12" t="s">
        <v>14</v>
      </c>
      <c r="V19" s="3" t="s">
        <v>10</v>
      </c>
      <c r="W19" s="44">
        <f>'Kalkulace a Porovnání'!W19</f>
        <v>0</v>
      </c>
      <c r="X19" s="44">
        <f>'Kalkulace a Porovnání'!X19</f>
        <v>0</v>
      </c>
      <c r="Y19" s="44">
        <f>'Kalkulace a Porovnání'!Y19</f>
        <v>0</v>
      </c>
      <c r="Z19" s="44">
        <f>'Kalkulace a Porovnání'!Z19</f>
        <v>0</v>
      </c>
      <c r="AA19" s="44">
        <f>'Kalkulace a Porovnání'!AA19</f>
        <v>0</v>
      </c>
      <c r="AB19" s="30">
        <f>'Kalkulace a Porovnání'!AB19</f>
        <v>0</v>
      </c>
      <c r="AC19" s="146"/>
    </row>
    <row r="20" spans="2:37" x14ac:dyDescent="0.25">
      <c r="B20" s="12" t="s">
        <v>15</v>
      </c>
      <c r="C20" s="13" t="s">
        <v>16</v>
      </c>
      <c r="D20" s="3" t="s">
        <v>10</v>
      </c>
      <c r="E20" s="44">
        <f>'Kalkulace a Porovnání'!E20</f>
        <v>0</v>
      </c>
      <c r="F20" s="44">
        <f>'Kalkulace a Porovnání'!F20</f>
        <v>5.0045657095890411E-3</v>
      </c>
      <c r="G20" s="44">
        <f>'Kalkulace a Porovnání'!G20</f>
        <v>0</v>
      </c>
      <c r="H20" s="30">
        <f>'Kalkulace a Porovnání'!H20</f>
        <v>3.7534225556164383E-2</v>
      </c>
      <c r="K20" s="12" t="s">
        <v>15</v>
      </c>
      <c r="L20" s="13" t="s">
        <v>16</v>
      </c>
      <c r="M20" s="3" t="s">
        <v>10</v>
      </c>
      <c r="N20" s="44">
        <f>'Kalkulace a Porovnání'!N20</f>
        <v>0</v>
      </c>
      <c r="O20" s="44">
        <f>'Kalkulace a Porovnání'!O20</f>
        <v>0</v>
      </c>
      <c r="P20" s="44">
        <f>'Kalkulace a Porovnání'!P20</f>
        <v>0</v>
      </c>
      <c r="Q20" s="30">
        <f>'Kalkulace a Porovnání'!Q20</f>
        <v>0</v>
      </c>
      <c r="T20" s="12" t="s">
        <v>15</v>
      </c>
      <c r="U20" s="13" t="s">
        <v>16</v>
      </c>
      <c r="V20" s="3" t="s">
        <v>10</v>
      </c>
      <c r="W20" s="44">
        <f>'Kalkulace a Porovnání'!W20</f>
        <v>0</v>
      </c>
      <c r="X20" s="44">
        <f>'Kalkulace a Porovnání'!X20</f>
        <v>5.0045657095890411E-3</v>
      </c>
      <c r="Y20" s="44">
        <f>'Kalkulace a Porovnání'!Y20</f>
        <v>-5.0045657095890411E-3</v>
      </c>
      <c r="Z20" s="44">
        <f>'Kalkulace a Porovnání'!Z20</f>
        <v>0</v>
      </c>
      <c r="AA20" s="44">
        <f>'Kalkulace a Porovnání'!AA20</f>
        <v>3.7534225556164383E-2</v>
      </c>
      <c r="AB20" s="30">
        <f>'Kalkulace a Porovnání'!AB20</f>
        <v>-3.7534225556164383E-2</v>
      </c>
      <c r="AC20" s="146"/>
    </row>
    <row r="21" spans="2:37" x14ac:dyDescent="0.25">
      <c r="B21" s="12" t="s">
        <v>17</v>
      </c>
      <c r="C21" s="13" t="s">
        <v>18</v>
      </c>
      <c r="D21" s="3" t="s">
        <v>10</v>
      </c>
      <c r="E21" s="44">
        <f>'Kalkulace a Porovnání'!E21</f>
        <v>0</v>
      </c>
      <c r="F21" s="44">
        <f>'Kalkulace a Porovnání'!F21</f>
        <v>2.5022831047726027E-2</v>
      </c>
      <c r="G21" s="44">
        <f>'Kalkulace a Porovnání'!G21</f>
        <v>0</v>
      </c>
      <c r="H21" s="30">
        <f>'Kalkulace a Porovnání'!H21</f>
        <v>7.5068493150684933E-3</v>
      </c>
      <c r="K21" s="12" t="s">
        <v>17</v>
      </c>
      <c r="L21" s="13" t="s">
        <v>18</v>
      </c>
      <c r="M21" s="3" t="s">
        <v>10</v>
      </c>
      <c r="N21" s="44">
        <f>'Kalkulace a Porovnání'!N21</f>
        <v>0</v>
      </c>
      <c r="O21" s="44">
        <f>'Kalkulace a Porovnání'!O21</f>
        <v>0</v>
      </c>
      <c r="P21" s="44">
        <f>'Kalkulace a Porovnání'!P21</f>
        <v>0</v>
      </c>
      <c r="Q21" s="30">
        <f>'Kalkulace a Porovnání'!Q21</f>
        <v>0</v>
      </c>
      <c r="T21" s="12" t="s">
        <v>17</v>
      </c>
      <c r="U21" s="13" t="s">
        <v>18</v>
      </c>
      <c r="V21" s="3" t="s">
        <v>10</v>
      </c>
      <c r="W21" s="44">
        <f>'Kalkulace a Porovnání'!W21</f>
        <v>0</v>
      </c>
      <c r="X21" s="44">
        <f>'Kalkulace a Porovnání'!X21</f>
        <v>2.5022831047726027E-2</v>
      </c>
      <c r="Y21" s="44">
        <f>'Kalkulace a Porovnání'!Y21</f>
        <v>-2.5022831047726027E-2</v>
      </c>
      <c r="Z21" s="44">
        <f>'Kalkulace a Porovnání'!Z21</f>
        <v>0</v>
      </c>
      <c r="AA21" s="44">
        <f>'Kalkulace a Porovnání'!AA21</f>
        <v>7.5068493150684933E-3</v>
      </c>
      <c r="AB21" s="30">
        <f>'Kalkulace a Porovnání'!AB21</f>
        <v>-7.5068493150684933E-3</v>
      </c>
      <c r="AC21" s="146"/>
    </row>
    <row r="22" spans="2:37" x14ac:dyDescent="0.25">
      <c r="B22" s="9" t="s">
        <v>19</v>
      </c>
      <c r="C22" s="10" t="s">
        <v>20</v>
      </c>
      <c r="D22" s="11" t="s">
        <v>10</v>
      </c>
      <c r="E22" s="41">
        <f>'Kalkulace a Porovnání'!E22</f>
        <v>0</v>
      </c>
      <c r="F22" s="41">
        <f>'Kalkulace a Porovnání'!F22</f>
        <v>2.7525111402739728E-2</v>
      </c>
      <c r="G22" s="41">
        <f>'Kalkulace a Porovnání'!G22</f>
        <v>0</v>
      </c>
      <c r="H22" s="86">
        <f>'Kalkulace a Porovnání'!H22</f>
        <v>0.30027396959999997</v>
      </c>
      <c r="K22" s="9" t="s">
        <v>19</v>
      </c>
      <c r="L22" s="10" t="s">
        <v>20</v>
      </c>
      <c r="M22" s="11" t="s">
        <v>10</v>
      </c>
      <c r="N22" s="41">
        <f>'Kalkulace a Porovnání'!N22</f>
        <v>0</v>
      </c>
      <c r="O22" s="41">
        <f>'Kalkulace a Porovnání'!O22</f>
        <v>0</v>
      </c>
      <c r="P22" s="41">
        <f>'Kalkulace a Porovnání'!P22</f>
        <v>0</v>
      </c>
      <c r="Q22" s="86">
        <f>'Kalkulace a Porovnání'!Q22</f>
        <v>0</v>
      </c>
      <c r="T22" s="9" t="s">
        <v>19</v>
      </c>
      <c r="U22" s="10" t="s">
        <v>20</v>
      </c>
      <c r="V22" s="11" t="s">
        <v>10</v>
      </c>
      <c r="W22" s="41">
        <f>'Kalkulace a Porovnání'!W22</f>
        <v>0</v>
      </c>
      <c r="X22" s="41">
        <f>'Kalkulace a Porovnání'!X22</f>
        <v>2.7525111402739728E-2</v>
      </c>
      <c r="Y22" s="41">
        <f>'Kalkulace a Porovnání'!Y22</f>
        <v>-2.7525111402739728E-2</v>
      </c>
      <c r="Z22" s="41">
        <f>'Kalkulace a Porovnání'!Z22</f>
        <v>0</v>
      </c>
      <c r="AA22" s="41">
        <f>'Kalkulace a Porovnání'!AA22</f>
        <v>0.30027396959999997</v>
      </c>
      <c r="AB22" s="86">
        <f>'Kalkulace a Porovnání'!AB22</f>
        <v>-0.30027396959999997</v>
      </c>
      <c r="AC22" s="146"/>
    </row>
    <row r="23" spans="2:37" x14ac:dyDescent="0.25">
      <c r="B23" s="12" t="s">
        <v>21</v>
      </c>
      <c r="C23" s="12" t="s">
        <v>22</v>
      </c>
      <c r="D23" s="3" t="s">
        <v>10</v>
      </c>
      <c r="E23" s="44">
        <f>'Kalkulace a Porovnání'!E23</f>
        <v>0</v>
      </c>
      <c r="F23" s="44">
        <f>'Kalkulace a Porovnání'!F23</f>
        <v>2.7525111402739728E-2</v>
      </c>
      <c r="G23" s="44">
        <f>'Kalkulace a Porovnání'!G23</f>
        <v>0</v>
      </c>
      <c r="H23" s="30">
        <f>'Kalkulace a Porovnání'!H23</f>
        <v>0.30027396959999997</v>
      </c>
      <c r="K23" s="12" t="s">
        <v>21</v>
      </c>
      <c r="L23" s="12" t="s">
        <v>22</v>
      </c>
      <c r="M23" s="3" t="s">
        <v>10</v>
      </c>
      <c r="N23" s="44">
        <f>'Kalkulace a Porovnání'!N23</f>
        <v>0</v>
      </c>
      <c r="O23" s="44">
        <f>'Kalkulace a Porovnání'!O23</f>
        <v>0</v>
      </c>
      <c r="P23" s="44">
        <f>'Kalkulace a Porovnání'!P23</f>
        <v>0</v>
      </c>
      <c r="Q23" s="30">
        <f>'Kalkulace a Porovnání'!Q23</f>
        <v>0</v>
      </c>
      <c r="T23" s="12" t="s">
        <v>21</v>
      </c>
      <c r="U23" s="12" t="s">
        <v>22</v>
      </c>
      <c r="V23" s="3" t="s">
        <v>10</v>
      </c>
      <c r="W23" s="44">
        <f>'Kalkulace a Porovnání'!W23</f>
        <v>0</v>
      </c>
      <c r="X23" s="44">
        <f>'Kalkulace a Porovnání'!X23</f>
        <v>2.7525111402739728E-2</v>
      </c>
      <c r="Y23" s="44">
        <f>'Kalkulace a Porovnání'!Y23</f>
        <v>-2.7525111402739728E-2</v>
      </c>
      <c r="Z23" s="44">
        <f>'Kalkulace a Porovnání'!Z23</f>
        <v>0</v>
      </c>
      <c r="AA23" s="44">
        <f>'Kalkulace a Porovnání'!AA23</f>
        <v>0.30027396959999997</v>
      </c>
      <c r="AB23" s="30">
        <f>'Kalkulace a Porovnání'!AB23</f>
        <v>-0.30027396959999997</v>
      </c>
      <c r="AC23" s="146"/>
    </row>
    <row r="24" spans="2:37" x14ac:dyDescent="0.25">
      <c r="B24" s="12" t="s">
        <v>23</v>
      </c>
      <c r="C24" s="12" t="s">
        <v>24</v>
      </c>
      <c r="D24" s="3" t="s">
        <v>10</v>
      </c>
      <c r="E24" s="44">
        <f>'Kalkulace a Porovnání'!E24</f>
        <v>0</v>
      </c>
      <c r="F24" s="44">
        <f>'Kalkulace a Porovnání'!F24</f>
        <v>0</v>
      </c>
      <c r="G24" s="44">
        <f>'Kalkulace a Porovnání'!G24</f>
        <v>0</v>
      </c>
      <c r="H24" s="30">
        <f>'Kalkulace a Porovnání'!H24</f>
        <v>0</v>
      </c>
      <c r="K24" s="12" t="s">
        <v>23</v>
      </c>
      <c r="L24" s="12" t="s">
        <v>24</v>
      </c>
      <c r="M24" s="3" t="s">
        <v>10</v>
      </c>
      <c r="N24" s="44">
        <f>'Kalkulace a Porovnání'!N24</f>
        <v>0</v>
      </c>
      <c r="O24" s="44">
        <f>'Kalkulace a Porovnání'!O24</f>
        <v>0</v>
      </c>
      <c r="P24" s="44">
        <f>'Kalkulace a Porovnání'!P24</f>
        <v>0</v>
      </c>
      <c r="Q24" s="30">
        <f>'Kalkulace a Porovnání'!Q24</f>
        <v>0</v>
      </c>
      <c r="T24" s="12" t="s">
        <v>23</v>
      </c>
      <c r="U24" s="12" t="s">
        <v>24</v>
      </c>
      <c r="V24" s="3" t="s">
        <v>10</v>
      </c>
      <c r="W24" s="44">
        <f>'Kalkulace a Porovnání'!W24</f>
        <v>0</v>
      </c>
      <c r="X24" s="44">
        <f>'Kalkulace a Porovnání'!X24</f>
        <v>0</v>
      </c>
      <c r="Y24" s="44">
        <f>'Kalkulace a Porovnání'!Y24</f>
        <v>0</v>
      </c>
      <c r="Z24" s="44">
        <f>'Kalkulace a Porovnání'!Z24</f>
        <v>0</v>
      </c>
      <c r="AA24" s="44">
        <f>'Kalkulace a Porovnání'!AA24</f>
        <v>0</v>
      </c>
      <c r="AB24" s="30">
        <f>'Kalkulace a Porovnání'!AB24</f>
        <v>0</v>
      </c>
      <c r="AC24" s="146"/>
    </row>
    <row r="25" spans="2:37" x14ac:dyDescent="0.25">
      <c r="B25" s="9" t="s">
        <v>25</v>
      </c>
      <c r="C25" s="10" t="s">
        <v>400</v>
      </c>
      <c r="D25" s="11" t="s">
        <v>10</v>
      </c>
      <c r="E25" s="41">
        <f>'Kalkulace a Porovnání'!E25</f>
        <v>0</v>
      </c>
      <c r="F25" s="41">
        <f>'Kalkulace a Porovnání'!F25</f>
        <v>5.0045612054794523E-3</v>
      </c>
      <c r="G25" s="41">
        <f>'Kalkulace a Porovnání'!G25</f>
        <v>0</v>
      </c>
      <c r="H25" s="86">
        <f>'Kalkulace a Porovnání'!H25</f>
        <v>0.18767123287671234</v>
      </c>
      <c r="K25" s="9" t="s">
        <v>25</v>
      </c>
      <c r="L25" s="10" t="s">
        <v>400</v>
      </c>
      <c r="M25" s="11" t="s">
        <v>10</v>
      </c>
      <c r="N25" s="41">
        <f>'Kalkulace a Porovnání'!N25</f>
        <v>0</v>
      </c>
      <c r="O25" s="41">
        <f>'Kalkulace a Porovnání'!O25</f>
        <v>0</v>
      </c>
      <c r="P25" s="41">
        <f>'Kalkulace a Porovnání'!P25</f>
        <v>0</v>
      </c>
      <c r="Q25" s="86">
        <f>'Kalkulace a Porovnání'!Q25</f>
        <v>0</v>
      </c>
      <c r="T25" s="9" t="s">
        <v>25</v>
      </c>
      <c r="U25" s="10" t="s">
        <v>400</v>
      </c>
      <c r="V25" s="11" t="s">
        <v>10</v>
      </c>
      <c r="W25" s="41">
        <f>'Kalkulace a Porovnání'!W25</f>
        <v>0</v>
      </c>
      <c r="X25" s="41">
        <f>'Kalkulace a Porovnání'!X25</f>
        <v>5.0045612054794523E-3</v>
      </c>
      <c r="Y25" s="41">
        <f>'Kalkulace a Porovnání'!Y25</f>
        <v>-5.0045612054794523E-3</v>
      </c>
      <c r="Z25" s="41">
        <f>'Kalkulace a Porovnání'!Z25</f>
        <v>0</v>
      </c>
      <c r="AA25" s="41">
        <f>'Kalkulace a Porovnání'!AA25</f>
        <v>0.18767123287671234</v>
      </c>
      <c r="AB25" s="86">
        <f>'Kalkulace a Porovnání'!AB25</f>
        <v>-0.18767123287671234</v>
      </c>
      <c r="AC25" s="146"/>
      <c r="AD25" s="146"/>
    </row>
    <row r="26" spans="2:37" x14ac:dyDescent="0.25">
      <c r="B26" s="12" t="s">
        <v>26</v>
      </c>
      <c r="C26" s="13" t="s">
        <v>390</v>
      </c>
      <c r="D26" s="3" t="s">
        <v>10</v>
      </c>
      <c r="E26" s="44">
        <f>'Kalkulace a Porovnání'!E26</f>
        <v>0</v>
      </c>
      <c r="F26" s="44">
        <f>'Kalkulace a Porovnání'!F26</f>
        <v>5.0045612054794523E-3</v>
      </c>
      <c r="G26" s="44">
        <f>'Kalkulace a Porovnání'!G26</f>
        <v>0</v>
      </c>
      <c r="H26" s="30">
        <f>'Kalkulace a Porovnání'!H26</f>
        <v>0.15013698630136987</v>
      </c>
      <c r="K26" s="12" t="s">
        <v>26</v>
      </c>
      <c r="L26" s="13" t="s">
        <v>390</v>
      </c>
      <c r="M26" s="3" t="s">
        <v>10</v>
      </c>
      <c r="N26" s="44">
        <f>'Kalkulace a Porovnání'!N26</f>
        <v>0</v>
      </c>
      <c r="O26" s="44">
        <f>'Kalkulace a Porovnání'!O26</f>
        <v>0</v>
      </c>
      <c r="P26" s="44">
        <f>'Kalkulace a Porovnání'!P26</f>
        <v>0</v>
      </c>
      <c r="Q26" s="30">
        <f>'Kalkulace a Porovnání'!Q26</f>
        <v>0</v>
      </c>
      <c r="T26" s="12" t="s">
        <v>26</v>
      </c>
      <c r="U26" s="13" t="s">
        <v>390</v>
      </c>
      <c r="V26" s="3" t="s">
        <v>10</v>
      </c>
      <c r="W26" s="44">
        <f>'Kalkulace a Porovnání'!W26</f>
        <v>0</v>
      </c>
      <c r="X26" s="44">
        <f>'Kalkulace a Porovnání'!X26</f>
        <v>5.0045612054794523E-3</v>
      </c>
      <c r="Y26" s="44">
        <f>'Kalkulace a Porovnání'!Y26</f>
        <v>-5.0045612054794523E-3</v>
      </c>
      <c r="Z26" s="44">
        <f>'Kalkulace a Porovnání'!Z26</f>
        <v>0</v>
      </c>
      <c r="AA26" s="44">
        <f>'Kalkulace a Porovnání'!AA26</f>
        <v>0.15013698630136987</v>
      </c>
      <c r="AB26" s="30">
        <f>'Kalkulace a Porovnání'!AB26</f>
        <v>-0.15013698630136987</v>
      </c>
      <c r="AC26" s="146"/>
      <c r="AD26" s="146"/>
    </row>
    <row r="27" spans="2:37" x14ac:dyDescent="0.25">
      <c r="B27" s="12" t="s">
        <v>27</v>
      </c>
      <c r="C27" s="13" t="s">
        <v>401</v>
      </c>
      <c r="D27" s="3" t="s">
        <v>10</v>
      </c>
      <c r="E27" s="44">
        <f>'Kalkulace a Porovnání'!E27</f>
        <v>0</v>
      </c>
      <c r="F27" s="44">
        <f>'Kalkulace a Porovnání'!F27</f>
        <v>0</v>
      </c>
      <c r="G27" s="44">
        <f>'Kalkulace a Porovnání'!G27</f>
        <v>0</v>
      </c>
      <c r="H27" s="30">
        <f>'Kalkulace a Porovnání'!H27</f>
        <v>3.7534246575342468E-2</v>
      </c>
      <c r="K27" s="12" t="s">
        <v>27</v>
      </c>
      <c r="L27" s="13" t="s">
        <v>401</v>
      </c>
      <c r="M27" s="3" t="s">
        <v>10</v>
      </c>
      <c r="N27" s="44">
        <f>'Kalkulace a Porovnání'!N27</f>
        <v>0</v>
      </c>
      <c r="O27" s="44">
        <f>'Kalkulace a Porovnání'!O27</f>
        <v>0</v>
      </c>
      <c r="P27" s="44">
        <f>'Kalkulace a Porovnání'!P27</f>
        <v>0</v>
      </c>
      <c r="Q27" s="30">
        <f>'Kalkulace a Porovnání'!Q27</f>
        <v>0</v>
      </c>
      <c r="T27" s="12" t="s">
        <v>27</v>
      </c>
      <c r="U27" s="13" t="s">
        <v>401</v>
      </c>
      <c r="V27" s="3" t="s">
        <v>10</v>
      </c>
      <c r="W27" s="44">
        <f>'Kalkulace a Porovnání'!W27</f>
        <v>0</v>
      </c>
      <c r="X27" s="44">
        <f>'Kalkulace a Porovnání'!X27</f>
        <v>0</v>
      </c>
      <c r="Y27" s="44">
        <f>'Kalkulace a Porovnání'!Y27</f>
        <v>0</v>
      </c>
      <c r="Z27" s="44">
        <f>'Kalkulace a Porovnání'!Z27</f>
        <v>0</v>
      </c>
      <c r="AA27" s="44">
        <f>'Kalkulace a Porovnání'!AA27</f>
        <v>3.7534246575342468E-2</v>
      </c>
      <c r="AB27" s="30">
        <f>'Kalkulace a Porovnání'!AB27</f>
        <v>-3.7534246575342468E-2</v>
      </c>
      <c r="AC27" s="146"/>
      <c r="AD27" s="146"/>
    </row>
    <row r="28" spans="2:37" x14ac:dyDescent="0.25">
      <c r="B28" s="9" t="s">
        <v>28</v>
      </c>
      <c r="C28" s="10" t="s">
        <v>29</v>
      </c>
      <c r="D28" s="11" t="s">
        <v>10</v>
      </c>
      <c r="E28" s="41">
        <f>'Kalkulace a Porovnání'!E28</f>
        <v>0</v>
      </c>
      <c r="F28" s="41">
        <f>'Kalkulace a Porovnání'!F28</f>
        <v>0.25072876712328768</v>
      </c>
      <c r="G28" s="41">
        <f>'Kalkulace a Porovnání'!G28</f>
        <v>0</v>
      </c>
      <c r="H28" s="86">
        <f>'Kalkulace a Porovnání'!H28</f>
        <v>0.68237260273972611</v>
      </c>
      <c r="K28" s="9" t="s">
        <v>28</v>
      </c>
      <c r="L28" s="10" t="s">
        <v>29</v>
      </c>
      <c r="M28" s="11" t="s">
        <v>10</v>
      </c>
      <c r="N28" s="41">
        <f>'Kalkulace a Porovnání'!N28</f>
        <v>0</v>
      </c>
      <c r="O28" s="41">
        <f>'Kalkulace a Porovnání'!O28</f>
        <v>0</v>
      </c>
      <c r="P28" s="41">
        <f>'Kalkulace a Porovnání'!P28</f>
        <v>0</v>
      </c>
      <c r="Q28" s="86">
        <f>'Kalkulace a Porovnání'!Q28</f>
        <v>0</v>
      </c>
      <c r="T28" s="9" t="s">
        <v>28</v>
      </c>
      <c r="U28" s="10" t="s">
        <v>29</v>
      </c>
      <c r="V28" s="11" t="s">
        <v>10</v>
      </c>
      <c r="W28" s="41">
        <f>'Kalkulace a Porovnání'!W28</f>
        <v>0.23571506849315069</v>
      </c>
      <c r="X28" s="41">
        <f>'Kalkulace a Porovnání'!X28</f>
        <v>0.25072876712328768</v>
      </c>
      <c r="Y28" s="41">
        <f>'Kalkulace a Porovnání'!Y28</f>
        <v>-1.5013698630136987E-2</v>
      </c>
      <c r="Z28" s="41">
        <f>'Kalkulace a Porovnání'!Z28</f>
        <v>0.66360547945205484</v>
      </c>
      <c r="AA28" s="41">
        <f>'Kalkulace a Porovnání'!AA28</f>
        <v>0.68237260273972611</v>
      </c>
      <c r="AB28" s="86">
        <f>'Kalkulace a Porovnání'!AB28</f>
        <v>-1.8767123287671234E-2</v>
      </c>
      <c r="AC28" s="146"/>
      <c r="AD28" s="146"/>
    </row>
    <row r="29" spans="2:37" x14ac:dyDescent="0.25">
      <c r="B29" s="12" t="s">
        <v>30</v>
      </c>
      <c r="C29" s="497" t="s">
        <v>381</v>
      </c>
      <c r="D29" s="3" t="s">
        <v>10</v>
      </c>
      <c r="E29" s="44">
        <f>'Kalkulace a Porovnání'!E29</f>
        <v>0</v>
      </c>
      <c r="F29" s="44">
        <f>'Kalkulace a Porovnání'!F29</f>
        <v>0</v>
      </c>
      <c r="G29" s="44">
        <f>'Kalkulace a Porovnání'!G29</f>
        <v>0</v>
      </c>
      <c r="H29" s="30">
        <f>'Kalkulace a Porovnání'!H29</f>
        <v>0</v>
      </c>
      <c r="K29" s="12" t="s">
        <v>30</v>
      </c>
      <c r="L29" s="21" t="s">
        <v>381</v>
      </c>
      <c r="M29" s="3" t="s">
        <v>10</v>
      </c>
      <c r="N29" s="44">
        <f>'Kalkulace a Porovnání'!N29</f>
        <v>0</v>
      </c>
      <c r="O29" s="44">
        <f>'Kalkulace a Porovnání'!O29</f>
        <v>0</v>
      </c>
      <c r="P29" s="44">
        <f>'Kalkulace a Porovnání'!P29</f>
        <v>0</v>
      </c>
      <c r="Q29" s="30">
        <f>'Kalkulace a Porovnání'!Q29</f>
        <v>0</v>
      </c>
      <c r="T29" s="12" t="s">
        <v>30</v>
      </c>
      <c r="U29" s="21" t="s">
        <v>381</v>
      </c>
      <c r="V29" s="3" t="s">
        <v>10</v>
      </c>
      <c r="W29" s="44">
        <f>'Kalkulace a Porovnání'!W29</f>
        <v>0</v>
      </c>
      <c r="X29" s="44">
        <f>'Kalkulace a Porovnání'!X29</f>
        <v>0</v>
      </c>
      <c r="Y29" s="44">
        <f>'Kalkulace a Porovnání'!Y29</f>
        <v>0</v>
      </c>
      <c r="Z29" s="44">
        <f>'Kalkulace a Porovnání'!Z29</f>
        <v>0</v>
      </c>
      <c r="AA29" s="44">
        <f>'Kalkulace a Porovnání'!AA29</f>
        <v>0</v>
      </c>
      <c r="AB29" s="30">
        <f>'Kalkulace a Porovnání'!AB29</f>
        <v>0</v>
      </c>
      <c r="AC29" s="146"/>
      <c r="AD29" s="146"/>
      <c r="AG29" s="146"/>
      <c r="AH29" s="146"/>
    </row>
    <row r="30" spans="2:37" x14ac:dyDescent="0.25">
      <c r="B30" s="12" t="s">
        <v>32</v>
      </c>
      <c r="C30" s="12" t="s">
        <v>383</v>
      </c>
      <c r="D30" s="3" t="s">
        <v>10</v>
      </c>
      <c r="E30" s="44">
        <f>'Kalkulace a Porovnání'!E30</f>
        <v>0</v>
      </c>
      <c r="F30" s="44">
        <f>'Kalkulace a Porovnání'!F30</f>
        <v>0</v>
      </c>
      <c r="G30" s="44">
        <f>'Kalkulace a Porovnání'!G30</f>
        <v>0</v>
      </c>
      <c r="H30" s="30">
        <f>'Kalkulace a Porovnání'!H30</f>
        <v>0</v>
      </c>
      <c r="K30" s="12" t="s">
        <v>32</v>
      </c>
      <c r="L30" s="13" t="s">
        <v>383</v>
      </c>
      <c r="M30" s="3" t="s">
        <v>10</v>
      </c>
      <c r="N30" s="44">
        <f>'Kalkulace a Porovnání'!N30</f>
        <v>0</v>
      </c>
      <c r="O30" s="44">
        <f>'Kalkulace a Porovnání'!O30</f>
        <v>0</v>
      </c>
      <c r="P30" s="44">
        <f>'Kalkulace a Porovnání'!P30</f>
        <v>0</v>
      </c>
      <c r="Q30" s="30">
        <f>'Kalkulace a Porovnání'!Q30</f>
        <v>0</v>
      </c>
      <c r="T30" s="12" t="s">
        <v>32</v>
      </c>
      <c r="U30" s="13" t="s">
        <v>383</v>
      </c>
      <c r="V30" s="3" t="s">
        <v>10</v>
      </c>
      <c r="W30" s="44">
        <f>'Kalkulace a Porovnání'!W30</f>
        <v>0</v>
      </c>
      <c r="X30" s="44">
        <f>'Kalkulace a Porovnání'!X30</f>
        <v>0</v>
      </c>
      <c r="Y30" s="44">
        <f>'Kalkulace a Porovnání'!Y30</f>
        <v>0</v>
      </c>
      <c r="Z30" s="44">
        <f>'Kalkulace a Porovnání'!Z30</f>
        <v>0</v>
      </c>
      <c r="AA30" s="44">
        <f>'Kalkulace a Porovnání'!AA30</f>
        <v>0</v>
      </c>
      <c r="AB30" s="30">
        <f>'Kalkulace a Porovnání'!AB30</f>
        <v>0</v>
      </c>
      <c r="AC30" s="146"/>
      <c r="AD30" s="146"/>
      <c r="AG30" s="146"/>
      <c r="AH30" s="146"/>
    </row>
    <row r="31" spans="2:37" ht="15" customHeight="1" x14ac:dyDescent="0.25">
      <c r="B31" s="12" t="s">
        <v>33</v>
      </c>
      <c r="C31" s="12" t="s">
        <v>382</v>
      </c>
      <c r="D31" s="3" t="s">
        <v>10</v>
      </c>
      <c r="E31" s="44">
        <f>'Kalkulace a Porovnání'!E31</f>
        <v>0</v>
      </c>
      <c r="F31" s="44">
        <f>'Kalkulace a Porovnání'!F31</f>
        <v>1.5013698630136987E-2</v>
      </c>
      <c r="G31" s="44">
        <f>'Kalkulace a Porovnání'!G31</f>
        <v>0</v>
      </c>
      <c r="H31" s="30">
        <f>'Kalkulace a Porovnání'!H31</f>
        <v>1.8767123287671234E-2</v>
      </c>
      <c r="K31" s="12" t="s">
        <v>33</v>
      </c>
      <c r="L31" s="13" t="s">
        <v>382</v>
      </c>
      <c r="M31" s="3" t="s">
        <v>10</v>
      </c>
      <c r="N31" s="44">
        <f>'Kalkulace a Porovnání'!N31</f>
        <v>0</v>
      </c>
      <c r="O31" s="44">
        <f>'Kalkulace a Porovnání'!O31</f>
        <v>0</v>
      </c>
      <c r="P31" s="44">
        <f>'Kalkulace a Porovnání'!P31</f>
        <v>0</v>
      </c>
      <c r="Q31" s="30">
        <f>'Kalkulace a Porovnání'!Q31</f>
        <v>0</v>
      </c>
      <c r="T31" s="12" t="s">
        <v>33</v>
      </c>
      <c r="U31" s="13" t="s">
        <v>382</v>
      </c>
      <c r="V31" s="3" t="s">
        <v>10</v>
      </c>
      <c r="W31" s="44">
        <f>'Kalkulace a Porovnání'!W31</f>
        <v>0</v>
      </c>
      <c r="X31" s="44">
        <f>'Kalkulace a Porovnání'!X31</f>
        <v>1.5013698630136987E-2</v>
      </c>
      <c r="Y31" s="44">
        <f>'Kalkulace a Porovnání'!Y31</f>
        <v>-1.5013698630136987E-2</v>
      </c>
      <c r="Z31" s="44">
        <f>'Kalkulace a Porovnání'!Z31</f>
        <v>0</v>
      </c>
      <c r="AA31" s="44">
        <f>'Kalkulace a Porovnání'!AA31</f>
        <v>1.8767123287671234E-2</v>
      </c>
      <c r="AB31" s="30">
        <f>'Kalkulace a Porovnání'!AB31</f>
        <v>-1.8767123287671234E-2</v>
      </c>
      <c r="AC31" s="146"/>
      <c r="AD31" s="428"/>
      <c r="AG31" s="252"/>
      <c r="AH31" s="252"/>
      <c r="AI31" s="252"/>
      <c r="AJ31" s="252"/>
      <c r="AK31" s="252"/>
    </row>
    <row r="32" spans="2:37" ht="15" customHeight="1" x14ac:dyDescent="0.25">
      <c r="B32" s="12" t="s">
        <v>34</v>
      </c>
      <c r="C32" s="497" t="s">
        <v>384</v>
      </c>
      <c r="D32" s="3" t="s">
        <v>10</v>
      </c>
      <c r="E32" s="44">
        <f>'Kalkulace a Porovnání'!E32</f>
        <v>0</v>
      </c>
      <c r="F32" s="44">
        <f>'Kalkulace a Porovnání'!F32</f>
        <v>0.23571506849315069</v>
      </c>
      <c r="G32" s="44">
        <f>'Kalkulace a Porovnání'!G32</f>
        <v>0</v>
      </c>
      <c r="H32" s="30">
        <f>'Kalkulace a Porovnání'!H32</f>
        <v>0.66360547945205484</v>
      </c>
      <c r="K32" s="12" t="s">
        <v>34</v>
      </c>
      <c r="L32" s="21" t="s">
        <v>384</v>
      </c>
      <c r="M32" s="3" t="s">
        <v>10</v>
      </c>
      <c r="N32" s="44">
        <f>'Kalkulace a Porovnání'!N32</f>
        <v>0</v>
      </c>
      <c r="O32" s="44">
        <f>'Kalkulace a Porovnání'!O32</f>
        <v>0</v>
      </c>
      <c r="P32" s="44">
        <f>'Kalkulace a Porovnání'!P32</f>
        <v>0</v>
      </c>
      <c r="Q32" s="30">
        <f>'Kalkulace a Porovnání'!Q32</f>
        <v>0</v>
      </c>
      <c r="T32" s="12" t="s">
        <v>34</v>
      </c>
      <c r="U32" s="21" t="s">
        <v>384</v>
      </c>
      <c r="V32" s="3" t="s">
        <v>10</v>
      </c>
      <c r="W32" s="44">
        <f>'Kalkulace a Porovnání'!W32</f>
        <v>0.23571506849315069</v>
      </c>
      <c r="X32" s="44">
        <f>'Kalkulace a Porovnání'!X32</f>
        <v>0.23571506849315069</v>
      </c>
      <c r="Y32" s="44">
        <f>'Kalkulace a Porovnání'!Y32</f>
        <v>0</v>
      </c>
      <c r="Z32" s="44">
        <f>'Kalkulace a Porovnání'!Z32</f>
        <v>0.66360547945205484</v>
      </c>
      <c r="AA32" s="44">
        <f>'Kalkulace a Porovnání'!AA32</f>
        <v>0.66360547945205484</v>
      </c>
      <c r="AB32" s="30">
        <f>'Kalkulace a Porovnání'!AB32</f>
        <v>0</v>
      </c>
      <c r="AC32" s="146"/>
      <c r="AD32" s="428"/>
      <c r="AG32" s="252"/>
      <c r="AH32" s="252"/>
      <c r="AI32" s="252"/>
      <c r="AJ32" s="252"/>
      <c r="AK32" s="252"/>
    </row>
    <row r="33" spans="2:42" ht="18" customHeight="1" x14ac:dyDescent="0.25">
      <c r="B33" s="9" t="s">
        <v>35</v>
      </c>
      <c r="C33" s="10" t="s">
        <v>387</v>
      </c>
      <c r="D33" s="11" t="s">
        <v>10</v>
      </c>
      <c r="E33" s="41">
        <f>'Kalkulace a Porovnání'!E33</f>
        <v>0</v>
      </c>
      <c r="F33" s="41">
        <f>'Kalkulace a Porovnání'!F33</f>
        <v>0.13262095452054795</v>
      </c>
      <c r="G33" s="41">
        <f>'Kalkulace a Porovnání'!G33</f>
        <v>0</v>
      </c>
      <c r="H33" s="86">
        <f>'Kalkulace a Porovnání'!H33</f>
        <v>0.25147945205479455</v>
      </c>
      <c r="K33" s="9" t="s">
        <v>35</v>
      </c>
      <c r="L33" s="10" t="s">
        <v>387</v>
      </c>
      <c r="M33" s="11" t="s">
        <v>10</v>
      </c>
      <c r="N33" s="41">
        <f>'Kalkulace a Porovnání'!N33</f>
        <v>0</v>
      </c>
      <c r="O33" s="41">
        <f>'Kalkulace a Porovnání'!O33</f>
        <v>0</v>
      </c>
      <c r="P33" s="41">
        <f>'Kalkulace a Porovnání'!P33</f>
        <v>0</v>
      </c>
      <c r="Q33" s="86">
        <f>'Kalkulace a Porovnání'!Q33</f>
        <v>0</v>
      </c>
      <c r="T33" s="9" t="s">
        <v>35</v>
      </c>
      <c r="U33" s="10" t="s">
        <v>387</v>
      </c>
      <c r="V33" s="11" t="s">
        <v>10</v>
      </c>
      <c r="W33" s="41">
        <f>'Kalkulace a Porovnání'!W33</f>
        <v>0</v>
      </c>
      <c r="X33" s="41">
        <f>'Kalkulace a Porovnání'!X33</f>
        <v>0.13262095452054795</v>
      </c>
      <c r="Y33" s="41">
        <f>'Kalkulace a Porovnání'!Y33</f>
        <v>-0.13262095452054795</v>
      </c>
      <c r="Z33" s="41">
        <f>'Kalkulace a Porovnání'!Z33</f>
        <v>0</v>
      </c>
      <c r="AA33" s="41">
        <f>'Kalkulace a Porovnání'!AA33</f>
        <v>0.25147945205479455</v>
      </c>
      <c r="AB33" s="86">
        <f>'Kalkulace a Porovnání'!AB33</f>
        <v>-0.25147945205479455</v>
      </c>
      <c r="AC33" s="146"/>
      <c r="AD33" s="428"/>
      <c r="AG33" s="429"/>
      <c r="AH33" s="429"/>
      <c r="AI33" s="252"/>
      <c r="AJ33" s="252"/>
      <c r="AK33" s="252"/>
    </row>
    <row r="34" spans="2:42" x14ac:dyDescent="0.25">
      <c r="B34" s="12" t="s">
        <v>37</v>
      </c>
      <c r="C34" s="13" t="s">
        <v>38</v>
      </c>
      <c r="D34" s="3" t="s">
        <v>10</v>
      </c>
      <c r="E34" s="44">
        <f>'Kalkulace a Porovnání'!E34</f>
        <v>0</v>
      </c>
      <c r="F34" s="44">
        <f>'Kalkulace a Porovnání'!F34</f>
        <v>0</v>
      </c>
      <c r="G34" s="44">
        <f>'Kalkulace a Porovnání'!G34</f>
        <v>0</v>
      </c>
      <c r="H34" s="30">
        <f>'Kalkulace a Porovnání'!H34</f>
        <v>7.5068493150684933E-3</v>
      </c>
      <c r="K34" s="12" t="s">
        <v>37</v>
      </c>
      <c r="L34" s="13" t="s">
        <v>38</v>
      </c>
      <c r="M34" s="3" t="s">
        <v>10</v>
      </c>
      <c r="N34" s="44">
        <f>'Kalkulace a Porovnání'!N34</f>
        <v>0</v>
      </c>
      <c r="O34" s="44">
        <f>'Kalkulace a Porovnání'!O34</f>
        <v>0</v>
      </c>
      <c r="P34" s="44">
        <f>'Kalkulace a Porovnání'!P34</f>
        <v>0</v>
      </c>
      <c r="Q34" s="30">
        <f>'Kalkulace a Porovnání'!Q34</f>
        <v>0</v>
      </c>
      <c r="T34" s="12" t="s">
        <v>37</v>
      </c>
      <c r="U34" s="13" t="s">
        <v>38</v>
      </c>
      <c r="V34" s="3" t="s">
        <v>10</v>
      </c>
      <c r="W34" s="44">
        <f>'Kalkulace a Porovnání'!W34</f>
        <v>0</v>
      </c>
      <c r="X34" s="44">
        <f>'Kalkulace a Porovnání'!X34</f>
        <v>0</v>
      </c>
      <c r="Y34" s="44">
        <f>'Kalkulace a Porovnání'!Y34</f>
        <v>0</v>
      </c>
      <c r="Z34" s="44">
        <f>'Kalkulace a Porovnání'!Z34</f>
        <v>0</v>
      </c>
      <c r="AA34" s="44">
        <f>'Kalkulace a Porovnání'!AA34</f>
        <v>7.5068493150684933E-3</v>
      </c>
      <c r="AB34" s="30">
        <f>'Kalkulace a Porovnání'!AB34</f>
        <v>-7.5068493150684933E-3</v>
      </c>
      <c r="AC34" s="146"/>
      <c r="AD34" s="428"/>
      <c r="AG34" s="1119"/>
      <c r="AH34" s="1119"/>
      <c r="AI34" s="252"/>
      <c r="AJ34" s="252"/>
      <c r="AK34" s="252"/>
    </row>
    <row r="35" spans="2:42" x14ac:dyDescent="0.25">
      <c r="B35" s="12" t="s">
        <v>39</v>
      </c>
      <c r="C35" s="12" t="s">
        <v>40</v>
      </c>
      <c r="D35" s="3" t="s">
        <v>10</v>
      </c>
      <c r="E35" s="44">
        <f>'Kalkulace a Porovnání'!E35</f>
        <v>0</v>
      </c>
      <c r="F35" s="44">
        <f>'Kalkulace a Porovnání'!F35</f>
        <v>4.2538762739726024E-2</v>
      </c>
      <c r="G35" s="44">
        <f>'Kalkulace a Porovnání'!G35</f>
        <v>0</v>
      </c>
      <c r="H35" s="30">
        <f>'Kalkulace a Porovnání'!H35</f>
        <v>0.16890410958904112</v>
      </c>
      <c r="K35" s="12" t="s">
        <v>39</v>
      </c>
      <c r="L35" s="12" t="s">
        <v>40</v>
      </c>
      <c r="M35" s="3" t="s">
        <v>10</v>
      </c>
      <c r="N35" s="44">
        <f>'Kalkulace a Porovnání'!N35</f>
        <v>0</v>
      </c>
      <c r="O35" s="44">
        <f>'Kalkulace a Porovnání'!O35</f>
        <v>0</v>
      </c>
      <c r="P35" s="44">
        <f>'Kalkulace a Porovnání'!P35</f>
        <v>0</v>
      </c>
      <c r="Q35" s="30">
        <f>'Kalkulace a Porovnání'!Q35</f>
        <v>0</v>
      </c>
      <c r="T35" s="12" t="s">
        <v>39</v>
      </c>
      <c r="U35" s="12" t="s">
        <v>40</v>
      </c>
      <c r="V35" s="3" t="s">
        <v>10</v>
      </c>
      <c r="W35" s="44">
        <f>'Kalkulace a Porovnání'!W35</f>
        <v>0</v>
      </c>
      <c r="X35" s="44">
        <f>'Kalkulace a Porovnání'!X35</f>
        <v>4.2538762739726024E-2</v>
      </c>
      <c r="Y35" s="44">
        <f>'Kalkulace a Porovnání'!Y35</f>
        <v>-4.2538762739726024E-2</v>
      </c>
      <c r="Z35" s="44">
        <f>'Kalkulace a Porovnání'!Z35</f>
        <v>0</v>
      </c>
      <c r="AA35" s="44">
        <f>'Kalkulace a Porovnání'!AA35</f>
        <v>0.16890410958904112</v>
      </c>
      <c r="AB35" s="30">
        <f>'Kalkulace a Porovnání'!AB35</f>
        <v>-0.16890410958904112</v>
      </c>
      <c r="AC35" s="146"/>
      <c r="AD35" s="428"/>
      <c r="AG35" s="1119"/>
      <c r="AH35" s="1119"/>
      <c r="AI35" s="252"/>
      <c r="AJ35" s="252"/>
      <c r="AK35" s="252"/>
      <c r="AL35" s="343"/>
      <c r="AM35" s="343"/>
      <c r="AN35" s="343"/>
      <c r="AO35" s="343"/>
      <c r="AP35" s="343"/>
    </row>
    <row r="36" spans="2:42" x14ac:dyDescent="0.25">
      <c r="B36" s="12" t="s">
        <v>41</v>
      </c>
      <c r="C36" s="13" t="s">
        <v>42</v>
      </c>
      <c r="D36" s="3" t="s">
        <v>10</v>
      </c>
      <c r="E36" s="44">
        <f>'Kalkulace a Porovnání'!E36</f>
        <v>0</v>
      </c>
      <c r="F36" s="44">
        <f>'Kalkulace a Porovnání'!F36</f>
        <v>9.0082191780821913E-2</v>
      </c>
      <c r="G36" s="44">
        <f>'Kalkulace a Porovnání'!G36</f>
        <v>0</v>
      </c>
      <c r="H36" s="30">
        <f>'Kalkulace a Porovnání'!H36</f>
        <v>7.5068493150684937E-2</v>
      </c>
      <c r="K36" s="12" t="s">
        <v>41</v>
      </c>
      <c r="L36" s="13" t="s">
        <v>42</v>
      </c>
      <c r="M36" s="3" t="s">
        <v>10</v>
      </c>
      <c r="N36" s="44">
        <f>'Kalkulace a Porovnání'!N36</f>
        <v>0</v>
      </c>
      <c r="O36" s="44">
        <f>'Kalkulace a Porovnání'!O36</f>
        <v>0</v>
      </c>
      <c r="P36" s="44">
        <f>'Kalkulace a Porovnání'!P36</f>
        <v>0</v>
      </c>
      <c r="Q36" s="30">
        <f>'Kalkulace a Porovnání'!Q36</f>
        <v>0</v>
      </c>
      <c r="T36" s="12" t="s">
        <v>41</v>
      </c>
      <c r="U36" s="13" t="s">
        <v>42</v>
      </c>
      <c r="V36" s="3" t="s">
        <v>10</v>
      </c>
      <c r="W36" s="44">
        <f>'Kalkulace a Porovnání'!W36</f>
        <v>0</v>
      </c>
      <c r="X36" s="44">
        <f>'Kalkulace a Porovnání'!X36</f>
        <v>9.0082191780821913E-2</v>
      </c>
      <c r="Y36" s="44">
        <f>'Kalkulace a Porovnání'!Y36</f>
        <v>-9.0082191780821913E-2</v>
      </c>
      <c r="Z36" s="44">
        <f>'Kalkulace a Porovnání'!Z36</f>
        <v>0</v>
      </c>
      <c r="AA36" s="44">
        <f>'Kalkulace a Porovnání'!AA36</f>
        <v>7.5068493150684937E-2</v>
      </c>
      <c r="AB36" s="30">
        <f>'Kalkulace a Porovnání'!AB36</f>
        <v>-7.5068493150684937E-2</v>
      </c>
      <c r="AC36" s="146"/>
      <c r="AD36" s="428"/>
      <c r="AG36" s="426"/>
      <c r="AH36" s="426"/>
      <c r="AI36" s="252"/>
      <c r="AJ36" s="252"/>
      <c r="AK36" s="252"/>
      <c r="AL36" s="343"/>
      <c r="AM36" s="343"/>
      <c r="AN36" s="343"/>
      <c r="AO36" s="343"/>
      <c r="AP36" s="343"/>
    </row>
    <row r="37" spans="2:42" x14ac:dyDescent="0.25">
      <c r="B37" s="9" t="s">
        <v>43</v>
      </c>
      <c r="C37" s="10" t="s">
        <v>44</v>
      </c>
      <c r="D37" s="11" t="s">
        <v>10</v>
      </c>
      <c r="E37" s="44">
        <f>'Kalkulace a Porovnání'!E37</f>
        <v>0</v>
      </c>
      <c r="F37" s="44">
        <f>'Kalkulace a Porovnání'!F37</f>
        <v>0</v>
      </c>
      <c r="G37" s="44">
        <f>'Kalkulace a Porovnání'!G37</f>
        <v>0</v>
      </c>
      <c r="H37" s="30">
        <f>'Kalkulace a Porovnání'!H37</f>
        <v>0</v>
      </c>
      <c r="K37" s="9" t="s">
        <v>43</v>
      </c>
      <c r="L37" s="10" t="s">
        <v>44</v>
      </c>
      <c r="M37" s="11" t="s">
        <v>10</v>
      </c>
      <c r="N37" s="44">
        <f>'Kalkulace a Porovnání'!N37</f>
        <v>0</v>
      </c>
      <c r="O37" s="44">
        <f>'Kalkulace a Porovnání'!O37</f>
        <v>0</v>
      </c>
      <c r="P37" s="44">
        <f>'Kalkulace a Porovnání'!P37</f>
        <v>0</v>
      </c>
      <c r="Q37" s="30">
        <f>'Kalkulace a Porovnání'!Q37</f>
        <v>0</v>
      </c>
      <c r="T37" s="9" t="s">
        <v>43</v>
      </c>
      <c r="U37" s="10" t="s">
        <v>44</v>
      </c>
      <c r="V37" s="11" t="s">
        <v>10</v>
      </c>
      <c r="W37" s="44">
        <f>'Kalkulace a Porovnání'!W37</f>
        <v>0</v>
      </c>
      <c r="X37" s="44">
        <f>'Kalkulace a Porovnání'!X37</f>
        <v>0</v>
      </c>
      <c r="Y37" s="44">
        <f>'Kalkulace a Porovnání'!Y37</f>
        <v>0</v>
      </c>
      <c r="Z37" s="44">
        <f>'Kalkulace a Porovnání'!Z37</f>
        <v>0</v>
      </c>
      <c r="AA37" s="44">
        <f>'Kalkulace a Porovnání'!AA37</f>
        <v>0</v>
      </c>
      <c r="AB37" s="30">
        <f>'Kalkulace a Porovnání'!AB37</f>
        <v>0</v>
      </c>
      <c r="AC37" s="146"/>
      <c r="AD37" s="428"/>
      <c r="AG37" s="147"/>
      <c r="AH37" s="147"/>
      <c r="AI37" s="252"/>
      <c r="AJ37" s="252"/>
      <c r="AK37" s="252"/>
      <c r="AL37" s="343"/>
      <c r="AM37" s="343"/>
      <c r="AN37" s="343"/>
      <c r="AO37" s="343"/>
      <c r="AP37" s="343"/>
    </row>
    <row r="38" spans="2:42" x14ac:dyDescent="0.25">
      <c r="B38" s="9" t="s">
        <v>45</v>
      </c>
      <c r="C38" s="10" t="s">
        <v>388</v>
      </c>
      <c r="D38" s="11" t="s">
        <v>10</v>
      </c>
      <c r="E38" s="44">
        <f>'Kalkulace a Porovnání'!E38</f>
        <v>0</v>
      </c>
      <c r="F38" s="44">
        <f>'Kalkulace a Porovnání'!F38</f>
        <v>0</v>
      </c>
      <c r="G38" s="44">
        <f>'Kalkulace a Porovnání'!G38</f>
        <v>0</v>
      </c>
      <c r="H38" s="30">
        <f>'Kalkulace a Porovnání'!H38</f>
        <v>0</v>
      </c>
      <c r="K38" s="9" t="s">
        <v>45</v>
      </c>
      <c r="L38" s="10" t="s">
        <v>388</v>
      </c>
      <c r="M38" s="11" t="s">
        <v>10</v>
      </c>
      <c r="N38" s="44">
        <f>'Kalkulace a Porovnání'!N38</f>
        <v>0</v>
      </c>
      <c r="O38" s="44">
        <f>'Kalkulace a Porovnání'!O38</f>
        <v>0</v>
      </c>
      <c r="P38" s="44">
        <f>'Kalkulace a Porovnání'!P38</f>
        <v>0</v>
      </c>
      <c r="Q38" s="30">
        <f>'Kalkulace a Porovnání'!Q38</f>
        <v>0</v>
      </c>
      <c r="T38" s="9" t="s">
        <v>45</v>
      </c>
      <c r="U38" s="10" t="s">
        <v>388</v>
      </c>
      <c r="V38" s="11" t="s">
        <v>10</v>
      </c>
      <c r="W38" s="44">
        <f>'Kalkulace a Porovnání'!W38</f>
        <v>0</v>
      </c>
      <c r="X38" s="44">
        <f>'Kalkulace a Porovnání'!X38</f>
        <v>0</v>
      </c>
      <c r="Y38" s="44">
        <f>'Kalkulace a Porovnání'!Y38</f>
        <v>0</v>
      </c>
      <c r="Z38" s="44">
        <f>'Kalkulace a Porovnání'!Z38</f>
        <v>0</v>
      </c>
      <c r="AA38" s="44">
        <f>'Kalkulace a Porovnání'!AA38</f>
        <v>0</v>
      </c>
      <c r="AB38" s="30">
        <f>'Kalkulace a Porovnání'!AB38</f>
        <v>0</v>
      </c>
      <c r="AC38" s="146"/>
      <c r="AD38" s="428"/>
      <c r="AG38" s="147"/>
      <c r="AH38" s="147"/>
      <c r="AI38" s="252"/>
      <c r="AJ38" s="252"/>
      <c r="AK38" s="252"/>
    </row>
    <row r="39" spans="2:42" x14ac:dyDescent="0.25">
      <c r="B39" s="9" t="s">
        <v>46</v>
      </c>
      <c r="C39" s="10" t="s">
        <v>47</v>
      </c>
      <c r="D39" s="11" t="s">
        <v>10</v>
      </c>
      <c r="E39" s="44">
        <f>'Kalkulace a Porovnání'!E39</f>
        <v>0</v>
      </c>
      <c r="F39" s="44">
        <f>'Kalkulace a Porovnání'!F39</f>
        <v>5.0295890410958909E-2</v>
      </c>
      <c r="G39" s="44">
        <f>'Kalkulace a Porovnání'!G39</f>
        <v>0</v>
      </c>
      <c r="H39" s="30">
        <f>'Kalkulace a Porovnání'!H39</f>
        <v>4.5041095890410957E-2</v>
      </c>
      <c r="K39" s="9" t="s">
        <v>46</v>
      </c>
      <c r="L39" s="10" t="s">
        <v>47</v>
      </c>
      <c r="M39" s="11" t="s">
        <v>10</v>
      </c>
      <c r="N39" s="44">
        <f>'Kalkulace a Porovnání'!N39</f>
        <v>0</v>
      </c>
      <c r="O39" s="44">
        <f>'Kalkulace a Porovnání'!O39</f>
        <v>0</v>
      </c>
      <c r="P39" s="44">
        <f>'Kalkulace a Porovnání'!P39</f>
        <v>0</v>
      </c>
      <c r="Q39" s="30">
        <f>'Kalkulace a Porovnání'!Q39</f>
        <v>0</v>
      </c>
      <c r="T39" s="9" t="s">
        <v>46</v>
      </c>
      <c r="U39" s="10" t="s">
        <v>47</v>
      </c>
      <c r="V39" s="11" t="s">
        <v>10</v>
      </c>
      <c r="W39" s="44">
        <f>'Kalkulace a Porovnání'!W39</f>
        <v>0</v>
      </c>
      <c r="X39" s="44">
        <f>'Kalkulace a Porovnání'!X39</f>
        <v>5.0295890410958909E-2</v>
      </c>
      <c r="Y39" s="44">
        <f>'Kalkulace a Porovnání'!Y39</f>
        <v>-5.0295890410958909E-2</v>
      </c>
      <c r="Z39" s="44">
        <f>'Kalkulace a Porovnání'!Z39</f>
        <v>0</v>
      </c>
      <c r="AA39" s="44">
        <f>'Kalkulace a Porovnání'!AA39</f>
        <v>4.5041095890410957E-2</v>
      </c>
      <c r="AB39" s="30">
        <f>'Kalkulace a Porovnání'!AB39</f>
        <v>-4.5041095890410957E-2</v>
      </c>
      <c r="AC39" s="146"/>
      <c r="AD39" s="428"/>
      <c r="AG39" s="147"/>
      <c r="AH39" s="147"/>
      <c r="AI39" s="252"/>
      <c r="AJ39" s="252"/>
      <c r="AK39" s="252"/>
    </row>
    <row r="40" spans="2:42" x14ac:dyDescent="0.25">
      <c r="B40" s="9" t="s">
        <v>48</v>
      </c>
      <c r="C40" s="10" t="s">
        <v>49</v>
      </c>
      <c r="D40" s="11" t="s">
        <v>10</v>
      </c>
      <c r="E40" s="44">
        <f>'Kalkulace a Porovnání'!E40</f>
        <v>0</v>
      </c>
      <c r="F40" s="44">
        <f>'Kalkulace a Porovnání'!F40</f>
        <v>4.0536986301369864E-2</v>
      </c>
      <c r="G40" s="44">
        <f>'Kalkulace a Porovnání'!G40</f>
        <v>0</v>
      </c>
      <c r="H40" s="30">
        <f>'Kalkulace a Porovnání'!H40</f>
        <v>3.7534246575342468E-2</v>
      </c>
      <c r="K40" s="9" t="s">
        <v>48</v>
      </c>
      <c r="L40" s="10" t="s">
        <v>49</v>
      </c>
      <c r="M40" s="11" t="s">
        <v>10</v>
      </c>
      <c r="N40" s="44">
        <f>'Kalkulace a Porovnání'!N40</f>
        <v>0</v>
      </c>
      <c r="O40" s="44">
        <f>'Kalkulace a Porovnání'!O40</f>
        <v>0</v>
      </c>
      <c r="P40" s="44">
        <f>'Kalkulace a Porovnání'!P40</f>
        <v>0</v>
      </c>
      <c r="Q40" s="30">
        <f>'Kalkulace a Porovnání'!Q40</f>
        <v>0</v>
      </c>
      <c r="T40" s="9" t="s">
        <v>48</v>
      </c>
      <c r="U40" s="10" t="s">
        <v>49</v>
      </c>
      <c r="V40" s="11" t="s">
        <v>10</v>
      </c>
      <c r="W40" s="44">
        <f>'Kalkulace a Porovnání'!W40</f>
        <v>0</v>
      </c>
      <c r="X40" s="44">
        <f>'Kalkulace a Porovnání'!X40</f>
        <v>4.0536986301369864E-2</v>
      </c>
      <c r="Y40" s="44">
        <f>'Kalkulace a Porovnání'!Y40</f>
        <v>-4.0536986301369864E-2</v>
      </c>
      <c r="Z40" s="44">
        <f>'Kalkulace a Porovnání'!Z40</f>
        <v>0</v>
      </c>
      <c r="AA40" s="44">
        <f>'Kalkulace a Porovnání'!AA40</f>
        <v>3.7534246575342468E-2</v>
      </c>
      <c r="AB40" s="30">
        <f>'Kalkulace a Porovnání'!AB40</f>
        <v>-3.7534246575342468E-2</v>
      </c>
      <c r="AC40" s="146"/>
      <c r="AD40" s="428"/>
      <c r="AG40" s="147"/>
      <c r="AH40" s="147"/>
      <c r="AI40" s="252"/>
      <c r="AJ40" s="252"/>
      <c r="AK40" s="252"/>
    </row>
    <row r="41" spans="2:42" x14ac:dyDescent="0.25">
      <c r="B41" s="12" t="s">
        <v>386</v>
      </c>
      <c r="C41" s="535" t="s">
        <v>385</v>
      </c>
      <c r="D41" s="3" t="s">
        <v>10</v>
      </c>
      <c r="E41" s="44">
        <f>'Kalkulace a Porovnání'!E41</f>
        <v>0</v>
      </c>
      <c r="F41" s="44">
        <f>'Kalkulace a Porovnání'!F41</f>
        <v>0.02</v>
      </c>
      <c r="G41" s="44">
        <f>'Kalkulace a Porovnání'!G41</f>
        <v>0</v>
      </c>
      <c r="H41" s="30">
        <f>'Kalkulace a Porovnání'!H41</f>
        <v>0.02</v>
      </c>
      <c r="K41" s="12" t="s">
        <v>386</v>
      </c>
      <c r="L41" s="12" t="s">
        <v>385</v>
      </c>
      <c r="M41" s="3" t="s">
        <v>10</v>
      </c>
      <c r="N41" s="44">
        <f>'Kalkulace a Porovnání'!N41</f>
        <v>0</v>
      </c>
      <c r="O41" s="44">
        <f>'Kalkulace a Porovnání'!O41</f>
        <v>0</v>
      </c>
      <c r="P41" s="44">
        <f>'Kalkulace a Porovnání'!P41</f>
        <v>0</v>
      </c>
      <c r="Q41" s="30">
        <f>'Kalkulace a Porovnání'!Q41</f>
        <v>0</v>
      </c>
      <c r="T41" s="12" t="s">
        <v>386</v>
      </c>
      <c r="U41" s="12" t="s">
        <v>385</v>
      </c>
      <c r="V41" s="3" t="s">
        <v>10</v>
      </c>
      <c r="W41" s="44">
        <f>'Kalkulace a Porovnání'!W41</f>
        <v>0</v>
      </c>
      <c r="X41" s="44">
        <f>'Kalkulace a Porovnání'!X41</f>
        <v>0</v>
      </c>
      <c r="Y41" s="44">
        <f>'Kalkulace a Porovnání'!Y41</f>
        <v>0</v>
      </c>
      <c r="Z41" s="44">
        <f>'Kalkulace a Porovnání'!Z41</f>
        <v>0</v>
      </c>
      <c r="AA41" s="44">
        <f>'Kalkulace a Porovnání'!AA41</f>
        <v>0</v>
      </c>
      <c r="AB41" s="30">
        <f>'Kalkulace a Porovnání'!AB41</f>
        <v>0</v>
      </c>
      <c r="AC41" s="146"/>
      <c r="AD41" s="428"/>
      <c r="AG41" s="147"/>
      <c r="AH41" s="147"/>
      <c r="AI41" s="252"/>
      <c r="AJ41" s="252"/>
      <c r="AK41" s="252"/>
    </row>
    <row r="42" spans="2:42" x14ac:dyDescent="0.25">
      <c r="B42" s="9" t="s">
        <v>50</v>
      </c>
      <c r="C42" s="10" t="s">
        <v>391</v>
      </c>
      <c r="D42" s="11" t="s">
        <v>10</v>
      </c>
      <c r="E42" s="41">
        <f>'Kalkulace a Porovnání'!E42</f>
        <v>0</v>
      </c>
      <c r="F42" s="41">
        <f>'Kalkulace a Porovnání'!F42</f>
        <v>0.59679446224224653</v>
      </c>
      <c r="G42" s="41">
        <f>'Kalkulace a Porovnání'!G42</f>
        <v>0</v>
      </c>
      <c r="H42" s="86">
        <f>'Kalkulace a Porovnání'!H42</f>
        <v>1.5494136746082194</v>
      </c>
      <c r="K42" s="9" t="s">
        <v>50</v>
      </c>
      <c r="L42" s="10" t="s">
        <v>391</v>
      </c>
      <c r="M42" s="11" t="s">
        <v>10</v>
      </c>
      <c r="N42" s="41">
        <f>'Kalkulace a Porovnání'!N42</f>
        <v>0</v>
      </c>
      <c r="O42" s="41">
        <f>'Kalkulace a Porovnání'!O42</f>
        <v>0</v>
      </c>
      <c r="P42" s="41">
        <f>'Kalkulace a Porovnání'!P42</f>
        <v>0</v>
      </c>
      <c r="Q42" s="86">
        <f>'Kalkulace a Porovnání'!Q42</f>
        <v>0</v>
      </c>
      <c r="T42" s="9" t="s">
        <v>50</v>
      </c>
      <c r="U42" s="10" t="s">
        <v>391</v>
      </c>
      <c r="V42" s="11" t="s">
        <v>10</v>
      </c>
      <c r="W42" s="41">
        <f>'Kalkulace a Porovnání'!W42</f>
        <v>0.23571506849315069</v>
      </c>
      <c r="X42" s="41">
        <f>'Kalkulace a Porovnání'!X42</f>
        <v>0.59679446224224653</v>
      </c>
      <c r="Y42" s="41">
        <f>'Kalkulace a Porovnání'!Y42</f>
        <v>-0.36107939374909592</v>
      </c>
      <c r="Z42" s="41">
        <f>'Kalkulace a Porovnání'!Z42</f>
        <v>0.66360547945205484</v>
      </c>
      <c r="AA42" s="41">
        <f>'Kalkulace a Porovnání'!AA42</f>
        <v>1.5494136746082194</v>
      </c>
      <c r="AB42" s="86">
        <f>'Kalkulace a Porovnání'!AB42</f>
        <v>-0.88580819515616449</v>
      </c>
      <c r="AC42" s="146"/>
      <c r="AD42" s="428"/>
      <c r="AG42" s="147"/>
      <c r="AH42" s="147"/>
      <c r="AI42" s="252"/>
      <c r="AJ42" s="252"/>
      <c r="AK42" s="252"/>
    </row>
    <row r="43" spans="2:42" x14ac:dyDescent="0.25">
      <c r="B43" s="12" t="s">
        <v>389</v>
      </c>
      <c r="C43" s="13" t="s">
        <v>96</v>
      </c>
      <c r="D43" s="3" t="s">
        <v>10</v>
      </c>
      <c r="E43" s="329">
        <f>'Kalkulace a Porovnání'!E43</f>
        <v>0</v>
      </c>
      <c r="F43" s="329">
        <f>'Kalkulace a Porovnání'!F43</f>
        <v>0</v>
      </c>
      <c r="G43" s="329">
        <f>'Kalkulace a Porovnání'!G43</f>
        <v>0</v>
      </c>
      <c r="H43" s="330">
        <f>'Kalkulace a Porovnání'!H43</f>
        <v>0</v>
      </c>
      <c r="K43" s="12" t="s">
        <v>389</v>
      </c>
      <c r="L43" s="13" t="s">
        <v>96</v>
      </c>
      <c r="M43" s="3" t="s">
        <v>10</v>
      </c>
      <c r="N43" s="329">
        <f>'Kalkulace a Porovnání'!N43</f>
        <v>0</v>
      </c>
      <c r="O43" s="329">
        <f>'Kalkulace a Porovnání'!O43</f>
        <v>0</v>
      </c>
      <c r="P43" s="329">
        <f>'Kalkulace a Porovnání'!P43</f>
        <v>0</v>
      </c>
      <c r="Q43" s="330">
        <f>'Kalkulace a Porovnání'!Q43</f>
        <v>0</v>
      </c>
      <c r="T43" s="12" t="s">
        <v>389</v>
      </c>
      <c r="U43" s="13" t="s">
        <v>96</v>
      </c>
      <c r="V43" s="3" t="s">
        <v>10</v>
      </c>
      <c r="W43" s="329">
        <f>'Kalkulace a Porovnání'!W43</f>
        <v>0</v>
      </c>
      <c r="X43" s="329">
        <f>'Kalkulace a Porovnání'!X43</f>
        <v>0</v>
      </c>
      <c r="Y43" s="329">
        <f>'Kalkulace a Porovnání'!Y43</f>
        <v>0</v>
      </c>
      <c r="Z43" s="329">
        <f>'Kalkulace a Porovnání'!Z43</f>
        <v>0</v>
      </c>
      <c r="AA43" s="329">
        <f>'Kalkulace a Porovnání'!AA43</f>
        <v>0</v>
      </c>
      <c r="AB43" s="330">
        <f>'Kalkulace a Porovnání'!AB43</f>
        <v>0</v>
      </c>
      <c r="AC43" s="146"/>
      <c r="AD43" s="428"/>
      <c r="AG43" s="1120"/>
      <c r="AH43" s="1120"/>
      <c r="AI43" s="252"/>
      <c r="AJ43" s="252"/>
      <c r="AK43" s="252"/>
    </row>
    <row r="44" spans="2:42" x14ac:dyDescent="0.25">
      <c r="B44" s="12" t="s">
        <v>389</v>
      </c>
      <c r="C44" s="13" t="s">
        <v>97</v>
      </c>
      <c r="D44" s="3" t="s">
        <v>10</v>
      </c>
      <c r="E44" s="329">
        <f>'Kalkulace a Porovnání'!E44</f>
        <v>0</v>
      </c>
      <c r="F44" s="329">
        <f>'Kalkulace a Porovnání'!F44</f>
        <v>0</v>
      </c>
      <c r="G44" s="329">
        <f>'Kalkulace a Porovnání'!G44</f>
        <v>0</v>
      </c>
      <c r="H44" s="330">
        <f>'Kalkulace a Porovnání'!H44</f>
        <v>0</v>
      </c>
      <c r="K44" s="12" t="s">
        <v>389</v>
      </c>
      <c r="L44" s="13" t="s">
        <v>97</v>
      </c>
      <c r="M44" s="3" t="s">
        <v>10</v>
      </c>
      <c r="N44" s="329">
        <f>'Kalkulace a Porovnání'!N44</f>
        <v>0</v>
      </c>
      <c r="O44" s="329">
        <f>'Kalkulace a Porovnání'!O44</f>
        <v>0</v>
      </c>
      <c r="P44" s="329">
        <f>'Kalkulace a Porovnání'!P44</f>
        <v>0</v>
      </c>
      <c r="Q44" s="330">
        <f>'Kalkulace a Porovnání'!Q44</f>
        <v>0</v>
      </c>
      <c r="T44" s="12" t="s">
        <v>389</v>
      </c>
      <c r="U44" s="13" t="s">
        <v>97</v>
      </c>
      <c r="V44" s="3" t="s">
        <v>10</v>
      </c>
      <c r="W44" s="329">
        <f>'Kalkulace a Porovnání'!W44</f>
        <v>0</v>
      </c>
      <c r="X44" s="329">
        <f>'Kalkulace a Porovnání'!X44</f>
        <v>0</v>
      </c>
      <c r="Y44" s="329">
        <f>'Kalkulace a Porovnání'!Y44</f>
        <v>0</v>
      </c>
      <c r="Z44" s="329">
        <f>'Kalkulace a Porovnání'!Z44</f>
        <v>0</v>
      </c>
      <c r="AA44" s="329">
        <f>'Kalkulace a Porovnání'!AA44</f>
        <v>0</v>
      </c>
      <c r="AB44" s="330">
        <f>'Kalkulace a Porovnání'!AB44</f>
        <v>0</v>
      </c>
      <c r="AC44" s="146"/>
      <c r="AD44" s="428"/>
      <c r="AG44" s="1120"/>
      <c r="AH44" s="1120"/>
      <c r="AI44" s="252"/>
      <c r="AJ44" s="252"/>
      <c r="AK44" s="252"/>
    </row>
    <row r="45" spans="2:42" x14ac:dyDescent="0.25">
      <c r="B45" s="12" t="s">
        <v>51</v>
      </c>
      <c r="C45" s="13" t="s">
        <v>54</v>
      </c>
      <c r="D45" s="3" t="s">
        <v>55</v>
      </c>
      <c r="E45" s="331">
        <f>'Kalkulace a Porovnání'!E45</f>
        <v>0</v>
      </c>
      <c r="F45" s="331">
        <f>'Kalkulace a Porovnání'!F45</f>
        <v>0</v>
      </c>
      <c r="G45" s="331">
        <f>'Kalkulace a Porovnání'!G45</f>
        <v>0</v>
      </c>
      <c r="H45" s="332">
        <f>'Kalkulace a Porovnání'!H45</f>
        <v>0</v>
      </c>
      <c r="K45" s="12" t="s">
        <v>51</v>
      </c>
      <c r="L45" s="13" t="s">
        <v>54</v>
      </c>
      <c r="M45" s="3" t="s">
        <v>55</v>
      </c>
      <c r="N45" s="331">
        <f>'Kalkulace a Porovnání'!N45</f>
        <v>0</v>
      </c>
      <c r="O45" s="331">
        <f>'Kalkulace a Porovnání'!O45</f>
        <v>0</v>
      </c>
      <c r="P45" s="331">
        <f>'Kalkulace a Porovnání'!P45</f>
        <v>0</v>
      </c>
      <c r="Q45" s="332">
        <f>'Kalkulace a Porovnání'!Q45</f>
        <v>0</v>
      </c>
      <c r="T45" s="12" t="s">
        <v>51</v>
      </c>
      <c r="U45" s="13" t="s">
        <v>54</v>
      </c>
      <c r="V45" s="3" t="s">
        <v>55</v>
      </c>
      <c r="W45" s="331">
        <f>'Kalkulace a Porovnání'!W45</f>
        <v>0</v>
      </c>
      <c r="X45" s="331">
        <f>'Kalkulace a Porovnání'!X45</f>
        <v>0</v>
      </c>
      <c r="Y45" s="331">
        <f>'Kalkulace a Porovnání'!Y45</f>
        <v>0</v>
      </c>
      <c r="Z45" s="331">
        <f>'Kalkulace a Porovnání'!Z45</f>
        <v>0</v>
      </c>
      <c r="AA45" s="331">
        <f>'Kalkulace a Porovnání'!AA45</f>
        <v>0</v>
      </c>
      <c r="AB45" s="332">
        <f>'Kalkulace a Porovnání'!AB45</f>
        <v>0</v>
      </c>
      <c r="AC45" s="146"/>
      <c r="AD45" s="428"/>
      <c r="AG45" s="1119"/>
      <c r="AH45" s="1119"/>
      <c r="AI45" s="252"/>
      <c r="AJ45" s="252"/>
      <c r="AK45" s="252"/>
    </row>
    <row r="46" spans="2:42" x14ac:dyDescent="0.25">
      <c r="B46" s="12" t="s">
        <v>52</v>
      </c>
      <c r="C46" s="13" t="s">
        <v>57</v>
      </c>
      <c r="D46" s="3" t="s">
        <v>58</v>
      </c>
      <c r="E46" s="44">
        <f>'Kalkulace a Porovnání'!E46</f>
        <v>0</v>
      </c>
      <c r="F46" s="44">
        <f>'Kalkulace a Porovnání'!F46</f>
        <v>2.5022828547945207E-2</v>
      </c>
      <c r="G46" s="44">
        <f>'Kalkulace a Porovnání'!G46</f>
        <v>0</v>
      </c>
      <c r="H46" s="30">
        <f>'Kalkulace a Porovnání'!H46</f>
        <v>0</v>
      </c>
      <c r="K46" s="12" t="s">
        <v>52</v>
      </c>
      <c r="L46" s="13" t="s">
        <v>57</v>
      </c>
      <c r="M46" s="3" t="s">
        <v>58</v>
      </c>
      <c r="N46" s="44">
        <f>'Kalkulace a Porovnání'!N46</f>
        <v>0</v>
      </c>
      <c r="O46" s="44">
        <f>'Kalkulace a Porovnání'!O46</f>
        <v>0</v>
      </c>
      <c r="P46" s="44">
        <f>'Kalkulace a Porovnání'!P46</f>
        <v>0</v>
      </c>
      <c r="Q46" s="30">
        <f>'Kalkulace a Porovnání'!Q46</f>
        <v>0</v>
      </c>
      <c r="T46" s="12" t="s">
        <v>52</v>
      </c>
      <c r="U46" s="13" t="s">
        <v>57</v>
      </c>
      <c r="V46" s="3" t="s">
        <v>58</v>
      </c>
      <c r="W46" s="44">
        <f>'Kalkulace a Porovnání'!W46</f>
        <v>0</v>
      </c>
      <c r="X46" s="44">
        <f>'Kalkulace a Porovnání'!X46</f>
        <v>2.5022828547945207E-2</v>
      </c>
      <c r="Y46" s="44">
        <f>'Kalkulace a Porovnání'!Y46</f>
        <v>-2.5022828547945207E-2</v>
      </c>
      <c r="Z46" s="44">
        <f>'Kalkulace a Porovnání'!Z46</f>
        <v>0</v>
      </c>
      <c r="AA46" s="44">
        <f>'Kalkulace a Porovnání'!AA46</f>
        <v>0</v>
      </c>
      <c r="AB46" s="30">
        <f>'Kalkulace a Porovnání'!AB46</f>
        <v>0</v>
      </c>
      <c r="AC46" s="146"/>
      <c r="AD46" s="428"/>
      <c r="AG46" s="1119"/>
      <c r="AH46" s="1119"/>
      <c r="AI46" s="252"/>
      <c r="AJ46" s="252"/>
      <c r="AK46" s="252"/>
    </row>
    <row r="47" spans="2:42" x14ac:dyDescent="0.25">
      <c r="B47" s="12" t="s">
        <v>53</v>
      </c>
      <c r="C47" s="13" t="s">
        <v>60</v>
      </c>
      <c r="D47" s="3" t="s">
        <v>58</v>
      </c>
      <c r="E47" s="44">
        <f>'Kalkulace a Porovnání'!E47</f>
        <v>0</v>
      </c>
      <c r="F47" s="44">
        <f>'Kalkulace a Porovnání'!F47</f>
        <v>2.2020088821917808E-2</v>
      </c>
      <c r="G47" s="44">
        <f>'Kalkulace a Porovnání'!G47</f>
        <v>0</v>
      </c>
      <c r="H47" s="30">
        <f>'Kalkulace a Porovnání'!H47</f>
        <v>0</v>
      </c>
      <c r="K47" s="12" t="s">
        <v>53</v>
      </c>
      <c r="L47" s="13" t="s">
        <v>60</v>
      </c>
      <c r="M47" s="3" t="s">
        <v>58</v>
      </c>
      <c r="N47" s="44">
        <f>'Kalkulace a Porovnání'!N47</f>
        <v>0</v>
      </c>
      <c r="O47" s="44">
        <f>'Kalkulace a Porovnání'!O47</f>
        <v>0</v>
      </c>
      <c r="P47" s="44">
        <f>'Kalkulace a Porovnání'!P47</f>
        <v>0</v>
      </c>
      <c r="Q47" s="30">
        <f>'Kalkulace a Porovnání'!Q47</f>
        <v>0</v>
      </c>
      <c r="T47" s="12" t="s">
        <v>53</v>
      </c>
      <c r="U47" s="13" t="s">
        <v>60</v>
      </c>
      <c r="V47" s="3" t="s">
        <v>58</v>
      </c>
      <c r="W47" s="44">
        <f>'Kalkulace a Porovnání'!W47</f>
        <v>0</v>
      </c>
      <c r="X47" s="44">
        <f>'Kalkulace a Porovnání'!X47</f>
        <v>2.2020088821917808E-2</v>
      </c>
      <c r="Y47" s="44">
        <f>'Kalkulace a Porovnání'!Y47</f>
        <v>-2.2020088821917808E-2</v>
      </c>
      <c r="Z47" s="44">
        <f>'Kalkulace a Porovnání'!Z47</f>
        <v>0</v>
      </c>
      <c r="AA47" s="44">
        <f>'Kalkulace a Porovnání'!AA47</f>
        <v>0</v>
      </c>
      <c r="AB47" s="30">
        <f>'Kalkulace a Porovnání'!AB47</f>
        <v>0</v>
      </c>
      <c r="AC47" s="146"/>
      <c r="AD47" s="428"/>
      <c r="AG47" s="147"/>
      <c r="AH47" s="147"/>
      <c r="AI47" s="252"/>
      <c r="AJ47" s="252"/>
      <c r="AK47" s="252"/>
    </row>
    <row r="48" spans="2:42" x14ac:dyDescent="0.25">
      <c r="B48" s="12" t="s">
        <v>56</v>
      </c>
      <c r="C48" s="13" t="s">
        <v>62</v>
      </c>
      <c r="D48" s="3" t="s">
        <v>58</v>
      </c>
      <c r="E48" s="44">
        <f>'Kalkulace a Porovnání'!E48</f>
        <v>0</v>
      </c>
      <c r="F48" s="44">
        <f>'Kalkulace a Porovnání'!F48</f>
        <v>0</v>
      </c>
      <c r="G48" s="44">
        <f>'Kalkulace a Porovnání'!G48</f>
        <v>0</v>
      </c>
      <c r="H48" s="30">
        <f>'Kalkulace a Porovnání'!H48</f>
        <v>2.7024657534246575E-2</v>
      </c>
      <c r="K48" s="12" t="s">
        <v>56</v>
      </c>
      <c r="L48" s="13" t="s">
        <v>62</v>
      </c>
      <c r="M48" s="3" t="s">
        <v>58</v>
      </c>
      <c r="N48" s="44">
        <f>'Kalkulace a Porovnání'!N48</f>
        <v>0</v>
      </c>
      <c r="O48" s="44">
        <f>'Kalkulace a Porovnání'!O48</f>
        <v>0</v>
      </c>
      <c r="P48" s="44">
        <f>'Kalkulace a Porovnání'!P48</f>
        <v>0</v>
      </c>
      <c r="Q48" s="30">
        <f>'Kalkulace a Porovnání'!Q48</f>
        <v>0</v>
      </c>
      <c r="T48" s="12" t="s">
        <v>56</v>
      </c>
      <c r="U48" s="13" t="s">
        <v>62</v>
      </c>
      <c r="V48" s="3" t="s">
        <v>58</v>
      </c>
      <c r="W48" s="44">
        <f>'Kalkulace a Porovnání'!W48</f>
        <v>0</v>
      </c>
      <c r="X48" s="44">
        <f>'Kalkulace a Porovnání'!X48</f>
        <v>0</v>
      </c>
      <c r="Y48" s="44">
        <f>'Kalkulace a Porovnání'!Y48</f>
        <v>0</v>
      </c>
      <c r="Z48" s="44">
        <f>'Kalkulace a Porovnání'!Z48</f>
        <v>0</v>
      </c>
      <c r="AA48" s="44">
        <f>'Kalkulace a Porovnání'!AA48</f>
        <v>2.7024657534246575E-2</v>
      </c>
      <c r="AB48" s="30">
        <f>'Kalkulace a Porovnání'!AB48</f>
        <v>-2.7024657534246575E-2</v>
      </c>
      <c r="AC48" s="146"/>
      <c r="AD48" s="428"/>
      <c r="AG48" s="430"/>
      <c r="AH48" s="430"/>
      <c r="AI48" s="252"/>
      <c r="AJ48" s="252"/>
      <c r="AK48" s="252"/>
    </row>
    <row r="49" spans="2:37" x14ac:dyDescent="0.25">
      <c r="B49" s="12" t="s">
        <v>59</v>
      </c>
      <c r="C49" s="13" t="s">
        <v>60</v>
      </c>
      <c r="D49" s="3" t="s">
        <v>58</v>
      </c>
      <c r="E49" s="44">
        <f>'Kalkulace a Porovnání'!E49</f>
        <v>0</v>
      </c>
      <c r="F49" s="44">
        <f>'Kalkulace a Porovnání'!F49</f>
        <v>0</v>
      </c>
      <c r="G49" s="44">
        <f>'Kalkulace a Porovnání'!G49</f>
        <v>0</v>
      </c>
      <c r="H49" s="30">
        <f>'Kalkulace a Porovnání'!H49</f>
        <v>1.9517808219178083E-2</v>
      </c>
      <c r="K49" s="12" t="s">
        <v>59</v>
      </c>
      <c r="L49" s="13" t="s">
        <v>60</v>
      </c>
      <c r="M49" s="3" t="s">
        <v>58</v>
      </c>
      <c r="N49" s="44">
        <f>'Kalkulace a Porovnání'!N49</f>
        <v>0</v>
      </c>
      <c r="O49" s="44">
        <f>'Kalkulace a Porovnání'!O49</f>
        <v>0</v>
      </c>
      <c r="P49" s="44">
        <f>'Kalkulace a Porovnání'!P49</f>
        <v>0</v>
      </c>
      <c r="Q49" s="30">
        <f>'Kalkulace a Porovnání'!Q49</f>
        <v>0</v>
      </c>
      <c r="T49" s="12" t="s">
        <v>59</v>
      </c>
      <c r="U49" s="13" t="s">
        <v>60</v>
      </c>
      <c r="V49" s="3" t="s">
        <v>58</v>
      </c>
      <c r="W49" s="44">
        <f>'Kalkulace a Porovnání'!W49</f>
        <v>0</v>
      </c>
      <c r="X49" s="44">
        <f>'Kalkulace a Porovnání'!X49</f>
        <v>0</v>
      </c>
      <c r="Y49" s="44">
        <f>'Kalkulace a Porovnání'!Y49</f>
        <v>0</v>
      </c>
      <c r="Z49" s="44">
        <f>'Kalkulace a Porovnání'!Z49</f>
        <v>0</v>
      </c>
      <c r="AA49" s="44">
        <f>'Kalkulace a Porovnání'!AA49</f>
        <v>1.9517808219178083E-2</v>
      </c>
      <c r="AB49" s="30">
        <f>'Kalkulace a Porovnání'!AB49</f>
        <v>-1.9517808219178083E-2</v>
      </c>
      <c r="AC49" s="146"/>
      <c r="AD49" s="428"/>
      <c r="AG49" s="427"/>
      <c r="AH49" s="427"/>
      <c r="AI49" s="252"/>
      <c r="AJ49" s="252"/>
      <c r="AK49" s="252"/>
    </row>
    <row r="50" spans="2:37" x14ac:dyDescent="0.25">
      <c r="B50" s="12" t="s">
        <v>61</v>
      </c>
      <c r="C50" s="13" t="s">
        <v>65</v>
      </c>
      <c r="D50" s="3" t="s">
        <v>58</v>
      </c>
      <c r="E50" s="44">
        <f>'Kalkulace a Porovnání'!E50</f>
        <v>0</v>
      </c>
      <c r="F50" s="44">
        <f>'Kalkulace a Porovnání'!F50</f>
        <v>0</v>
      </c>
      <c r="G50" s="44">
        <f>'Kalkulace a Porovnání'!G50</f>
        <v>0</v>
      </c>
      <c r="H50" s="30">
        <f>'Kalkulace a Porovnání'!H50</f>
        <v>6.0054794520547948E-3</v>
      </c>
      <c r="K50" s="12" t="s">
        <v>61</v>
      </c>
      <c r="L50" s="13" t="s">
        <v>65</v>
      </c>
      <c r="M50" s="3" t="s">
        <v>58</v>
      </c>
      <c r="N50" s="44">
        <f>'Kalkulace a Porovnání'!N50</f>
        <v>0</v>
      </c>
      <c r="O50" s="44">
        <f>'Kalkulace a Porovnání'!O50</f>
        <v>0</v>
      </c>
      <c r="P50" s="44">
        <f>'Kalkulace a Porovnání'!P50</f>
        <v>0</v>
      </c>
      <c r="Q50" s="30">
        <f>'Kalkulace a Porovnání'!Q50</f>
        <v>0</v>
      </c>
      <c r="T50" s="12" t="s">
        <v>61</v>
      </c>
      <c r="U50" s="13" t="s">
        <v>65</v>
      </c>
      <c r="V50" s="3" t="s">
        <v>58</v>
      </c>
      <c r="W50" s="44">
        <f>'Kalkulace a Porovnání'!W50</f>
        <v>0</v>
      </c>
      <c r="X50" s="44">
        <f>'Kalkulace a Porovnání'!X50</f>
        <v>0</v>
      </c>
      <c r="Y50" s="44">
        <f>'Kalkulace a Porovnání'!Y50</f>
        <v>0</v>
      </c>
      <c r="Z50" s="44">
        <f>'Kalkulace a Porovnání'!Z50</f>
        <v>0</v>
      </c>
      <c r="AA50" s="44">
        <f>'Kalkulace a Porovnání'!AA50</f>
        <v>6.0054794520547948E-3</v>
      </c>
      <c r="AB50" s="30">
        <f>'Kalkulace a Porovnání'!AB50</f>
        <v>-6.0054794520547948E-3</v>
      </c>
      <c r="AC50" s="146"/>
      <c r="AD50" s="428"/>
      <c r="AG50" s="147"/>
      <c r="AH50" s="147"/>
      <c r="AI50" s="430"/>
      <c r="AJ50" s="430"/>
      <c r="AK50" s="252"/>
    </row>
    <row r="51" spans="2:37" x14ac:dyDescent="0.25">
      <c r="B51" s="12" t="s">
        <v>63</v>
      </c>
      <c r="C51" s="13" t="s">
        <v>67</v>
      </c>
      <c r="D51" s="3" t="s">
        <v>58</v>
      </c>
      <c r="E51" s="44">
        <f>'Kalkulace a Porovnání'!E51</f>
        <v>0</v>
      </c>
      <c r="F51" s="44">
        <f>'Kalkulace a Porovnání'!F51</f>
        <v>0</v>
      </c>
      <c r="G51" s="44">
        <f>'Kalkulace a Porovnání'!G51</f>
        <v>0</v>
      </c>
      <c r="H51" s="30">
        <f>'Kalkulace a Porovnání'!H51</f>
        <v>7.5068493150684937E-2</v>
      </c>
      <c r="K51" s="12" t="s">
        <v>63</v>
      </c>
      <c r="L51" s="13" t="s">
        <v>67</v>
      </c>
      <c r="M51" s="3" t="s">
        <v>58</v>
      </c>
      <c r="N51" s="44">
        <f>'Kalkulace a Porovnání'!N51</f>
        <v>0</v>
      </c>
      <c r="O51" s="44">
        <f>'Kalkulace a Porovnání'!O51</f>
        <v>0</v>
      </c>
      <c r="P51" s="44">
        <f>'Kalkulace a Porovnání'!P51</f>
        <v>0</v>
      </c>
      <c r="Q51" s="30">
        <f>'Kalkulace a Porovnání'!Q51</f>
        <v>0</v>
      </c>
      <c r="T51" s="12" t="s">
        <v>63</v>
      </c>
      <c r="U51" s="13" t="s">
        <v>67</v>
      </c>
      <c r="V51" s="3" t="s">
        <v>58</v>
      </c>
      <c r="W51" s="44">
        <f>'Kalkulace a Porovnání'!W51</f>
        <v>0</v>
      </c>
      <c r="X51" s="44">
        <f>'Kalkulace a Porovnání'!X51</f>
        <v>0</v>
      </c>
      <c r="Y51" s="44">
        <f>'Kalkulace a Porovnání'!Y51</f>
        <v>0</v>
      </c>
      <c r="Z51" s="44">
        <f>'Kalkulace a Porovnání'!Z51</f>
        <v>0</v>
      </c>
      <c r="AA51" s="44">
        <f>'Kalkulace a Porovnání'!AA51</f>
        <v>7.5068493150684937E-2</v>
      </c>
      <c r="AB51" s="30">
        <f>'Kalkulace a Porovnání'!AB51</f>
        <v>-7.5068493150684937E-2</v>
      </c>
      <c r="AC51" s="146"/>
      <c r="AD51" s="428"/>
      <c r="AG51" s="147"/>
      <c r="AH51" s="147"/>
      <c r="AI51" s="430"/>
      <c r="AJ51" s="430"/>
      <c r="AK51" s="252"/>
    </row>
    <row r="52" spans="2:37" x14ac:dyDescent="0.25">
      <c r="B52" s="12" t="s">
        <v>64</v>
      </c>
      <c r="C52" s="13" t="s">
        <v>68</v>
      </c>
      <c r="D52" s="3" t="s">
        <v>58</v>
      </c>
      <c r="E52" s="44">
        <f>'Kalkulace a Porovnání'!E52</f>
        <v>0</v>
      </c>
      <c r="F52" s="44">
        <f>'Kalkulace a Porovnání'!F52</f>
        <v>0</v>
      </c>
      <c r="G52" s="44">
        <f>'Kalkulace a Porovnání'!G52</f>
        <v>0</v>
      </c>
      <c r="H52" s="30">
        <f>'Kalkulace a Porovnání'!H52</f>
        <v>0</v>
      </c>
      <c r="K52" s="12" t="s">
        <v>64</v>
      </c>
      <c r="L52" s="13" t="s">
        <v>68</v>
      </c>
      <c r="M52" s="3" t="s">
        <v>58</v>
      </c>
      <c r="N52" s="44">
        <f>'Kalkulace a Porovnání'!N52</f>
        <v>0</v>
      </c>
      <c r="O52" s="44">
        <f>'Kalkulace a Porovnání'!O52</f>
        <v>0</v>
      </c>
      <c r="P52" s="44">
        <f>'Kalkulace a Porovnání'!P52</f>
        <v>0</v>
      </c>
      <c r="Q52" s="30">
        <f>'Kalkulace a Porovnání'!Q52</f>
        <v>0</v>
      </c>
      <c r="T52" s="12" t="s">
        <v>64</v>
      </c>
      <c r="U52" s="13" t="s">
        <v>68</v>
      </c>
      <c r="V52" s="3" t="s">
        <v>58</v>
      </c>
      <c r="W52" s="44">
        <f>'Kalkulace a Porovnání'!W52</f>
        <v>0</v>
      </c>
      <c r="X52" s="44">
        <f>'Kalkulace a Porovnání'!X52</f>
        <v>0</v>
      </c>
      <c r="Y52" s="44">
        <f>'Kalkulace a Porovnání'!Y52</f>
        <v>0</v>
      </c>
      <c r="Z52" s="44">
        <f>'Kalkulace a Porovnání'!Z52</f>
        <v>0</v>
      </c>
      <c r="AA52" s="44">
        <f>'Kalkulace a Porovnání'!AA52</f>
        <v>0</v>
      </c>
      <c r="AB52" s="30">
        <f>'Kalkulace a Porovnání'!AB52</f>
        <v>0</v>
      </c>
      <c r="AC52" s="146"/>
      <c r="AD52" s="428"/>
      <c r="AG52" s="147"/>
      <c r="AH52" s="147"/>
      <c r="AI52" s="430"/>
      <c r="AJ52" s="430"/>
      <c r="AK52" s="252"/>
    </row>
    <row r="53" spans="2:37" x14ac:dyDescent="0.25">
      <c r="B53" s="12" t="s">
        <v>66</v>
      </c>
      <c r="C53" s="13" t="s">
        <v>69</v>
      </c>
      <c r="D53" s="3" t="s">
        <v>58</v>
      </c>
      <c r="E53" s="44">
        <f>'Kalkulace a Porovnání'!E53</f>
        <v>0</v>
      </c>
      <c r="F53" s="44">
        <f>'Kalkulace a Porovnání'!F53</f>
        <v>0</v>
      </c>
      <c r="G53" s="44">
        <f>'Kalkulace a Porovnání'!G53</f>
        <v>0</v>
      </c>
      <c r="H53" s="30">
        <f>'Kalkulace a Porovnání'!H53</f>
        <v>0</v>
      </c>
      <c r="K53" s="12" t="s">
        <v>66</v>
      </c>
      <c r="L53" s="13" t="s">
        <v>69</v>
      </c>
      <c r="M53" s="3" t="s">
        <v>58</v>
      </c>
      <c r="N53" s="44">
        <f>'Kalkulace a Porovnání'!N53</f>
        <v>0</v>
      </c>
      <c r="O53" s="44">
        <f>'Kalkulace a Porovnání'!O53</f>
        <v>0</v>
      </c>
      <c r="P53" s="44">
        <f>'Kalkulace a Porovnání'!P53</f>
        <v>0</v>
      </c>
      <c r="Q53" s="30">
        <f>'Kalkulace a Porovnání'!Q53</f>
        <v>0</v>
      </c>
      <c r="T53" s="12" t="s">
        <v>66</v>
      </c>
      <c r="U53" s="13" t="s">
        <v>69</v>
      </c>
      <c r="V53" s="3" t="s">
        <v>58</v>
      </c>
      <c r="W53" s="44">
        <f>'Kalkulace a Porovnání'!W53</f>
        <v>0</v>
      </c>
      <c r="X53" s="44">
        <f>'Kalkulace a Porovnání'!X53</f>
        <v>0</v>
      </c>
      <c r="Y53" s="44">
        <f>'Kalkulace a Porovnání'!Y53</f>
        <v>0</v>
      </c>
      <c r="Z53" s="44">
        <f>'Kalkulace a Porovnání'!Z53</f>
        <v>0</v>
      </c>
      <c r="AA53" s="44">
        <f>'Kalkulace a Porovnání'!AA53</f>
        <v>0</v>
      </c>
      <c r="AB53" s="30">
        <f>'Kalkulace a Porovnání'!AB53</f>
        <v>0</v>
      </c>
      <c r="AC53" s="146"/>
      <c r="AD53" s="428"/>
      <c r="AG53" s="314"/>
      <c r="AH53" s="314"/>
      <c r="AI53" s="252"/>
      <c r="AJ53" s="252"/>
      <c r="AK53" s="252"/>
    </row>
    <row r="54" spans="2:37" x14ac:dyDescent="0.25">
      <c r="B54" s="1"/>
      <c r="C54" s="1"/>
      <c r="D54" s="1"/>
      <c r="E54" s="1"/>
      <c r="F54" s="1"/>
      <c r="G54" s="1"/>
      <c r="H54" s="1"/>
      <c r="K54" s="1"/>
      <c r="L54" s="1"/>
      <c r="M54" s="1"/>
      <c r="N54" s="1"/>
      <c r="O54" s="1"/>
      <c r="P54" s="1"/>
      <c r="Q54" s="1"/>
      <c r="T54" s="1"/>
      <c r="U54" s="1"/>
      <c r="V54" s="1"/>
      <c r="W54" s="1"/>
      <c r="X54" s="1"/>
      <c r="Y54" s="1"/>
      <c r="Z54" s="1"/>
      <c r="AA54" s="1"/>
      <c r="AB54" s="1"/>
      <c r="AC54" s="146"/>
      <c r="AD54" s="428"/>
      <c r="AG54" s="428"/>
      <c r="AH54" s="428"/>
      <c r="AI54" s="252"/>
      <c r="AJ54" s="252"/>
      <c r="AK54" s="252"/>
    </row>
    <row r="55" spans="2:37" x14ac:dyDescent="0.25">
      <c r="B55" s="1052" t="s">
        <v>5</v>
      </c>
      <c r="C55" s="884" t="s">
        <v>70</v>
      </c>
      <c r="D55" s="868"/>
      <c r="E55" s="1082"/>
      <c r="F55" s="1083"/>
      <c r="G55" s="868"/>
      <c r="H55" s="869"/>
      <c r="K55" s="1052" t="s">
        <v>5</v>
      </c>
      <c r="L55" s="884" t="s">
        <v>70</v>
      </c>
      <c r="M55" s="868"/>
      <c r="N55" s="1082"/>
      <c r="O55" s="1083"/>
      <c r="P55" s="868"/>
      <c r="Q55" s="869"/>
      <c r="T55" s="1098" t="s">
        <v>5</v>
      </c>
      <c r="U55" s="884" t="s">
        <v>70</v>
      </c>
      <c r="V55" s="868"/>
      <c r="W55" s="1082"/>
      <c r="X55" s="1082"/>
      <c r="Y55" s="1083"/>
      <c r="Z55" s="868"/>
      <c r="AA55" s="868"/>
      <c r="AB55" s="869"/>
      <c r="AC55" s="146"/>
      <c r="AD55" s="428"/>
      <c r="AG55" s="428"/>
      <c r="AH55" s="428"/>
      <c r="AI55" s="252"/>
      <c r="AJ55" s="252"/>
      <c r="AK55" s="252"/>
    </row>
    <row r="56" spans="2:37" ht="20.25" customHeight="1" x14ac:dyDescent="0.25">
      <c r="B56" s="1053"/>
      <c r="C56" s="1052" t="s">
        <v>71</v>
      </c>
      <c r="D56" s="1065" t="s">
        <v>133</v>
      </c>
      <c r="E56" s="1085" t="s">
        <v>102</v>
      </c>
      <c r="F56" s="1086"/>
      <c r="G56" s="85" t="s">
        <v>3</v>
      </c>
      <c r="H56" s="23" t="s">
        <v>4</v>
      </c>
      <c r="K56" s="1053"/>
      <c r="L56" s="5" t="s">
        <v>71</v>
      </c>
      <c r="M56" s="1065" t="s">
        <v>133</v>
      </c>
      <c r="N56" s="1085" t="s">
        <v>102</v>
      </c>
      <c r="O56" s="1086"/>
      <c r="P56" s="85" t="s">
        <v>3</v>
      </c>
      <c r="Q56" s="23" t="s">
        <v>4</v>
      </c>
      <c r="T56" s="1099"/>
      <c r="U56" s="1052" t="s">
        <v>71</v>
      </c>
      <c r="V56" s="1065" t="s">
        <v>133</v>
      </c>
      <c r="W56" s="1085" t="s">
        <v>102</v>
      </c>
      <c r="X56" s="1086"/>
      <c r="Y56" s="1085" t="s">
        <v>3</v>
      </c>
      <c r="Z56" s="1101"/>
      <c r="AA56" s="1102" t="s">
        <v>4</v>
      </c>
      <c r="AB56" s="1102"/>
      <c r="AC56" s="146"/>
      <c r="AD56" s="428"/>
      <c r="AG56" s="428"/>
      <c r="AH56" s="428"/>
      <c r="AI56" s="252"/>
      <c r="AJ56" s="252"/>
      <c r="AK56" s="252"/>
    </row>
    <row r="57" spans="2:37" x14ac:dyDescent="0.25">
      <c r="B57" s="1054"/>
      <c r="C57" s="1054"/>
      <c r="D57" s="1084"/>
      <c r="E57" s="1087"/>
      <c r="F57" s="1088"/>
      <c r="G57" s="26" t="s">
        <v>7</v>
      </c>
      <c r="H57" s="24" t="s">
        <v>7</v>
      </c>
      <c r="K57" s="1054"/>
      <c r="L57" s="8"/>
      <c r="M57" s="1084"/>
      <c r="N57" s="1087"/>
      <c r="O57" s="1088"/>
      <c r="P57" s="26" t="s">
        <v>7</v>
      </c>
      <c r="Q57" s="24" t="s">
        <v>7</v>
      </c>
      <c r="T57" s="1100"/>
      <c r="U57" s="1054"/>
      <c r="V57" s="1084"/>
      <c r="W57" s="1087"/>
      <c r="X57" s="1088"/>
      <c r="Y57" s="37" t="s">
        <v>148</v>
      </c>
      <c r="Z57" s="37" t="s">
        <v>7</v>
      </c>
      <c r="AA57" s="37" t="s">
        <v>148</v>
      </c>
      <c r="AB57" s="37" t="s">
        <v>7</v>
      </c>
      <c r="AC57" s="146"/>
      <c r="AD57" s="428"/>
      <c r="AG57" s="428"/>
      <c r="AH57" s="428"/>
      <c r="AI57" s="252"/>
      <c r="AJ57" s="252"/>
      <c r="AK57" s="252"/>
    </row>
    <row r="58" spans="2:37" x14ac:dyDescent="0.25">
      <c r="B58" s="11">
        <v>1</v>
      </c>
      <c r="C58" s="11">
        <v>2</v>
      </c>
      <c r="D58" s="11" t="s">
        <v>95</v>
      </c>
      <c r="E58" s="873" t="s">
        <v>99</v>
      </c>
      <c r="F58" s="874"/>
      <c r="G58" s="11" t="s">
        <v>100</v>
      </c>
      <c r="H58" s="22" t="s">
        <v>101</v>
      </c>
      <c r="K58" s="11">
        <v>1</v>
      </c>
      <c r="L58" s="11">
        <v>2</v>
      </c>
      <c r="M58" s="11" t="s">
        <v>95</v>
      </c>
      <c r="N58" s="873" t="s">
        <v>99</v>
      </c>
      <c r="O58" s="874"/>
      <c r="P58" s="11" t="s">
        <v>100</v>
      </c>
      <c r="Q58" s="22" t="s">
        <v>101</v>
      </c>
      <c r="T58" s="11">
        <v>1</v>
      </c>
      <c r="U58" s="11">
        <v>2</v>
      </c>
      <c r="V58" s="11" t="s">
        <v>95</v>
      </c>
      <c r="W58" s="1096" t="s">
        <v>99</v>
      </c>
      <c r="X58" s="1097"/>
      <c r="Y58" s="11" t="s">
        <v>153</v>
      </c>
      <c r="Z58" s="11" t="s">
        <v>100</v>
      </c>
      <c r="AA58" s="11" t="s">
        <v>152</v>
      </c>
      <c r="AB58" s="22" t="s">
        <v>101</v>
      </c>
      <c r="AC58" s="146"/>
      <c r="AD58" s="428"/>
      <c r="AG58" s="428"/>
      <c r="AH58" s="428"/>
      <c r="AI58" s="252"/>
      <c r="AJ58" s="252"/>
      <c r="AK58" s="252"/>
    </row>
    <row r="59" spans="2:37" x14ac:dyDescent="0.25">
      <c r="B59" s="12" t="s">
        <v>72</v>
      </c>
      <c r="C59" s="13" t="s">
        <v>104</v>
      </c>
      <c r="D59" s="13" t="s">
        <v>73</v>
      </c>
      <c r="E59" s="875" t="s">
        <v>403</v>
      </c>
      <c r="F59" s="859"/>
      <c r="G59" s="138">
        <f>'Kalkulace a Porovnání'!G59</f>
        <v>23.850000054900001</v>
      </c>
      <c r="H59" s="138">
        <f>'Kalkulace a Porovnání'!H59</f>
        <v>46.909090181818193</v>
      </c>
      <c r="K59" s="12" t="s">
        <v>72</v>
      </c>
      <c r="L59" s="13" t="s">
        <v>104</v>
      </c>
      <c r="M59" s="13" t="s">
        <v>73</v>
      </c>
      <c r="N59" s="875" t="s">
        <v>403</v>
      </c>
      <c r="O59" s="859"/>
      <c r="P59" s="138">
        <f>'Kalkulace a Porovnání'!P59</f>
        <v>0</v>
      </c>
      <c r="Q59" s="138">
        <f>'Kalkulace a Porovnání'!Q59</f>
        <v>0</v>
      </c>
      <c r="T59" s="12" t="s">
        <v>72</v>
      </c>
      <c r="U59" s="13" t="s">
        <v>104</v>
      </c>
      <c r="V59" s="13" t="s">
        <v>73</v>
      </c>
      <c r="W59" s="875" t="s">
        <v>403</v>
      </c>
      <c r="X59" s="859"/>
      <c r="Y59" s="138">
        <f>'Kalkulace a Porovnání'!Y59</f>
        <v>0</v>
      </c>
      <c r="Z59" s="138">
        <f>'Kalkulace a Porovnání'!Z59</f>
        <v>23.850000054900001</v>
      </c>
      <c r="AA59" s="138">
        <f>'Kalkulace a Porovnání'!AA59</f>
        <v>0</v>
      </c>
      <c r="AB59" s="138">
        <f>'Kalkulace a Porovnání'!AB59</f>
        <v>46.909090181818193</v>
      </c>
      <c r="AC59" s="146"/>
      <c r="AD59" s="428"/>
      <c r="AG59" s="428"/>
      <c r="AH59" s="428"/>
      <c r="AI59" s="252"/>
      <c r="AJ59" s="252"/>
      <c r="AK59" s="252"/>
    </row>
    <row r="60" spans="2:37" x14ac:dyDescent="0.25">
      <c r="B60" s="12" t="s">
        <v>74</v>
      </c>
      <c r="C60" s="12" t="s">
        <v>358</v>
      </c>
      <c r="D60" s="13" t="s">
        <v>10</v>
      </c>
      <c r="E60" s="858" t="s">
        <v>404</v>
      </c>
      <c r="F60" s="870"/>
      <c r="G60" s="138">
        <f>G61+G62</f>
        <v>0</v>
      </c>
      <c r="H60" s="138">
        <f>H61+H62</f>
        <v>0</v>
      </c>
      <c r="K60" s="12" t="s">
        <v>74</v>
      </c>
      <c r="L60" s="13" t="s">
        <v>358</v>
      </c>
      <c r="M60" s="13" t="s">
        <v>10</v>
      </c>
      <c r="N60" s="858" t="s">
        <v>404</v>
      </c>
      <c r="O60" s="870"/>
      <c r="P60" s="138">
        <f>P61+P62</f>
        <v>0</v>
      </c>
      <c r="Q60" s="138">
        <f>Q61+Q62</f>
        <v>0</v>
      </c>
      <c r="T60" s="12" t="s">
        <v>74</v>
      </c>
      <c r="U60" s="13" t="s">
        <v>358</v>
      </c>
      <c r="V60" s="13" t="s">
        <v>10</v>
      </c>
      <c r="W60" s="858" t="s">
        <v>404</v>
      </c>
      <c r="X60" s="870"/>
      <c r="Y60" s="138">
        <f>Y61+Y62</f>
        <v>0</v>
      </c>
      <c r="Z60" s="138">
        <f t="shared" ref="Z60:AB60" si="0">Z61+Z62</f>
        <v>0</v>
      </c>
      <c r="AA60" s="138">
        <f t="shared" si="0"/>
        <v>0</v>
      </c>
      <c r="AB60" s="138">
        <f t="shared" si="0"/>
        <v>0</v>
      </c>
      <c r="AC60" s="146"/>
      <c r="AD60" s="428"/>
      <c r="AG60" s="428"/>
      <c r="AH60" s="428"/>
      <c r="AI60" s="252"/>
      <c r="AJ60" s="252"/>
      <c r="AK60" s="252"/>
    </row>
    <row r="61" spans="2:37" x14ac:dyDescent="0.25">
      <c r="B61" s="12" t="s">
        <v>352</v>
      </c>
      <c r="C61" s="12" t="s">
        <v>359</v>
      </c>
      <c r="D61" s="13" t="s">
        <v>10</v>
      </c>
      <c r="E61" s="871"/>
      <c r="F61" s="872"/>
      <c r="G61" s="138">
        <f>'Kalkulace a Porovnání'!G61</f>
        <v>0</v>
      </c>
      <c r="H61" s="138">
        <f>'Kalkulace a Porovnání'!H61</f>
        <v>0</v>
      </c>
      <c r="K61" s="12" t="s">
        <v>352</v>
      </c>
      <c r="L61" s="13" t="s">
        <v>359</v>
      </c>
      <c r="M61" s="13" t="s">
        <v>10</v>
      </c>
      <c r="N61" s="871"/>
      <c r="O61" s="872"/>
      <c r="P61" s="138">
        <f>'Kalkulace a Porovnání'!P61</f>
        <v>0</v>
      </c>
      <c r="Q61" s="138">
        <f>'Kalkulace a Porovnání'!Q61</f>
        <v>0</v>
      </c>
      <c r="T61" s="12" t="s">
        <v>352</v>
      </c>
      <c r="U61" s="13" t="s">
        <v>359</v>
      </c>
      <c r="V61" s="13" t="s">
        <v>10</v>
      </c>
      <c r="W61" s="871"/>
      <c r="X61" s="872"/>
      <c r="Y61" s="138">
        <f>'Kalkulace a Porovnání'!Y61</f>
        <v>0</v>
      </c>
      <c r="Z61" s="138">
        <f>'Kalkulace a Porovnání'!Z61</f>
        <v>0</v>
      </c>
      <c r="AA61" s="138">
        <f>'Kalkulace a Porovnání'!AA61</f>
        <v>0</v>
      </c>
      <c r="AB61" s="138">
        <f>'Kalkulace a Porovnání'!AB61</f>
        <v>0</v>
      </c>
      <c r="AC61" s="146"/>
      <c r="AD61" s="428"/>
      <c r="AG61" s="428"/>
      <c r="AH61" s="428"/>
      <c r="AI61" s="252"/>
      <c r="AJ61" s="252"/>
      <c r="AK61" s="252"/>
    </row>
    <row r="62" spans="2:37" x14ac:dyDescent="0.25">
      <c r="B62" s="12" t="s">
        <v>361</v>
      </c>
      <c r="C62" s="12" t="s">
        <v>360</v>
      </c>
      <c r="D62" s="13" t="s">
        <v>10</v>
      </c>
      <c r="E62" s="884"/>
      <c r="F62" s="869"/>
      <c r="G62" s="138">
        <f>'Kalkulace a Porovnání'!G62</f>
        <v>0</v>
      </c>
      <c r="H62" s="138">
        <f>'Kalkulace a Porovnání'!H62</f>
        <v>0</v>
      </c>
      <c r="K62" s="12" t="s">
        <v>361</v>
      </c>
      <c r="L62" s="13" t="s">
        <v>360</v>
      </c>
      <c r="M62" s="13" t="s">
        <v>10</v>
      </c>
      <c r="N62" s="884"/>
      <c r="O62" s="869"/>
      <c r="P62" s="138">
        <f>'Kalkulace a Porovnání'!P62</f>
        <v>0</v>
      </c>
      <c r="Q62" s="138">
        <f>'Kalkulace a Porovnání'!Q62</f>
        <v>0</v>
      </c>
      <c r="T62" s="12" t="s">
        <v>361</v>
      </c>
      <c r="U62" s="13" t="s">
        <v>360</v>
      </c>
      <c r="V62" s="13" t="s">
        <v>10</v>
      </c>
      <c r="W62" s="884"/>
      <c r="X62" s="869"/>
      <c r="Y62" s="138">
        <f>'Kalkulace a Porovnání'!Y62</f>
        <v>0</v>
      </c>
      <c r="Z62" s="138">
        <f>'Kalkulace a Porovnání'!Z62</f>
        <v>0</v>
      </c>
      <c r="AA62" s="138">
        <f>'Kalkulace a Porovnání'!AA62</f>
        <v>0</v>
      </c>
      <c r="AB62" s="138">
        <f>'Kalkulace a Porovnání'!AB62</f>
        <v>0</v>
      </c>
      <c r="AC62" s="146"/>
      <c r="AD62" s="428"/>
      <c r="AG62" s="428"/>
      <c r="AH62" s="428"/>
      <c r="AI62" s="252"/>
      <c r="AJ62" s="252"/>
      <c r="AK62" s="252"/>
    </row>
    <row r="63" spans="2:37" x14ac:dyDescent="0.25">
      <c r="B63" s="12" t="s">
        <v>75</v>
      </c>
      <c r="C63" s="13" t="s">
        <v>396</v>
      </c>
      <c r="D63" s="13" t="s">
        <v>10</v>
      </c>
      <c r="E63" s="858" t="s">
        <v>405</v>
      </c>
      <c r="F63" s="859"/>
      <c r="G63" s="341">
        <f>'Kalkulace a Porovnání'!G63</f>
        <v>0.59679446224224653</v>
      </c>
      <c r="H63" s="341">
        <f>'Kalkulace a Porovnání'!H63</f>
        <v>1.5494136746082194</v>
      </c>
      <c r="K63" s="12" t="s">
        <v>75</v>
      </c>
      <c r="L63" s="13" t="s">
        <v>396</v>
      </c>
      <c r="M63" s="13" t="s">
        <v>10</v>
      </c>
      <c r="N63" s="858" t="s">
        <v>405</v>
      </c>
      <c r="O63" s="859"/>
      <c r="P63" s="341">
        <f>'Kalkulace a Porovnání'!P63</f>
        <v>0</v>
      </c>
      <c r="Q63" s="341">
        <f>'Kalkulace a Porovnání'!Q63</f>
        <v>0</v>
      </c>
      <c r="T63" s="12" t="s">
        <v>75</v>
      </c>
      <c r="U63" s="13" t="s">
        <v>396</v>
      </c>
      <c r="V63" s="13" t="s">
        <v>10</v>
      </c>
      <c r="W63" s="858" t="s">
        <v>405</v>
      </c>
      <c r="X63" s="859"/>
      <c r="Y63" s="341">
        <f>'Kalkulace a Porovnání'!Y63</f>
        <v>0.23571506849315069</v>
      </c>
      <c r="Z63" s="341">
        <f>'Kalkulace a Porovnání'!Z63</f>
        <v>0.59679446224224653</v>
      </c>
      <c r="AA63" s="341">
        <f>'Kalkulace a Porovnání'!AA63</f>
        <v>0.66360547945205484</v>
      </c>
      <c r="AB63" s="341">
        <f>'Kalkulace a Porovnání'!AB63</f>
        <v>1.5494136746082194</v>
      </c>
      <c r="AC63" s="146"/>
      <c r="AD63" s="428"/>
      <c r="AG63" s="428"/>
      <c r="AH63" s="428"/>
      <c r="AI63" s="252"/>
      <c r="AJ63" s="252"/>
      <c r="AK63" s="252"/>
    </row>
    <row r="64" spans="2:37" x14ac:dyDescent="0.25">
      <c r="B64" s="12" t="s">
        <v>76</v>
      </c>
      <c r="C64" s="13" t="s">
        <v>373</v>
      </c>
      <c r="D64" s="13" t="s">
        <v>10</v>
      </c>
      <c r="E64" s="858"/>
      <c r="F64" s="859"/>
      <c r="G64" s="341">
        <f>'Kalkulace a Porovnání'!G64</f>
        <v>1.8016360766120544E-2</v>
      </c>
      <c r="H64" s="341">
        <f>'Kalkulace a Porovnání'!H64</f>
        <v>7.5068701841095903E-2</v>
      </c>
      <c r="K64" s="12" t="s">
        <v>76</v>
      </c>
      <c r="L64" s="13" t="s">
        <v>373</v>
      </c>
      <c r="M64" s="13" t="s">
        <v>10</v>
      </c>
      <c r="N64" s="858"/>
      <c r="O64" s="859"/>
      <c r="P64" s="341">
        <f>'Kalkulace a Porovnání'!P64</f>
        <v>0</v>
      </c>
      <c r="Q64" s="341">
        <f>'Kalkulace a Porovnání'!Q64</f>
        <v>0</v>
      </c>
      <c r="T64" s="12" t="s">
        <v>76</v>
      </c>
      <c r="U64" s="13" t="s">
        <v>373</v>
      </c>
      <c r="V64" s="13" t="s">
        <v>10</v>
      </c>
      <c r="W64" s="858"/>
      <c r="X64" s="859"/>
      <c r="Y64" s="341">
        <f>'Kalkulace a Porovnání'!Y64</f>
        <v>2.3999896640999999E-2</v>
      </c>
      <c r="Z64" s="341">
        <f>'Kalkulace a Porovnání'!Z64</f>
        <v>1.8016360766120544E-2</v>
      </c>
      <c r="AA64" s="341">
        <f>'Kalkulace a Porovnání'!AA64</f>
        <v>0.100000278</v>
      </c>
      <c r="AB64" s="341">
        <f>'Kalkulace a Porovnání'!AB64</f>
        <v>7.5068701841095903E-2</v>
      </c>
      <c r="AC64" s="146"/>
      <c r="AD64" s="428"/>
      <c r="AG64" s="428"/>
      <c r="AH64" s="428"/>
      <c r="AI64" s="252"/>
      <c r="AJ64" s="252"/>
      <c r="AK64" s="252"/>
    </row>
    <row r="65" spans="2:37" x14ac:dyDescent="0.25">
      <c r="B65" s="12" t="s">
        <v>78</v>
      </c>
      <c r="C65" s="21" t="s">
        <v>402</v>
      </c>
      <c r="D65" s="13" t="s">
        <v>77</v>
      </c>
      <c r="E65" s="875" t="s">
        <v>406</v>
      </c>
      <c r="F65" s="859"/>
      <c r="G65" s="138">
        <f>'Kalkulace a Porovnání'!G65</f>
        <v>3.0188552183326851</v>
      </c>
      <c r="H65" s="138">
        <f>'Kalkulace a Porovnání'!H65</f>
        <v>4.8449747844182136</v>
      </c>
      <c r="K65" s="12" t="s">
        <v>78</v>
      </c>
      <c r="L65" s="21" t="s">
        <v>402</v>
      </c>
      <c r="M65" s="13" t="s">
        <v>77</v>
      </c>
      <c r="N65" s="875" t="s">
        <v>406</v>
      </c>
      <c r="O65" s="859"/>
      <c r="P65" s="138">
        <f>'Kalkulace a Porovnání'!P65</f>
        <v>0</v>
      </c>
      <c r="Q65" s="138">
        <f>'Kalkulace a Porovnání'!Q65</f>
        <v>0</v>
      </c>
      <c r="T65" s="12" t="s">
        <v>78</v>
      </c>
      <c r="U65" s="21" t="s">
        <v>402</v>
      </c>
      <c r="V65" s="13" t="s">
        <v>77</v>
      </c>
      <c r="W65" s="875" t="s">
        <v>406</v>
      </c>
      <c r="X65" s="859"/>
      <c r="Y65" s="138">
        <f>'Kalkulace a Porovnání'!Y65</f>
        <v>10.181740520206658</v>
      </c>
      <c r="Z65" s="138">
        <f>'Kalkulace a Porovnání'!Z65</f>
        <v>3.0188552183326851</v>
      </c>
      <c r="AA65" s="138">
        <f>'Kalkulace a Porovnání'!AA65</f>
        <v>15.069236330382799</v>
      </c>
      <c r="AB65" s="138">
        <f>'Kalkulace a Porovnání'!AB65</f>
        <v>4.8449747844182136</v>
      </c>
      <c r="AC65" s="146"/>
      <c r="AD65" s="428"/>
      <c r="AG65" s="428"/>
      <c r="AH65" s="428"/>
      <c r="AI65" s="252"/>
      <c r="AJ65" s="252"/>
      <c r="AK65" s="252"/>
    </row>
    <row r="66" spans="2:37" x14ac:dyDescent="0.25">
      <c r="B66" s="12" t="s">
        <v>79</v>
      </c>
      <c r="C66" s="21" t="s">
        <v>408</v>
      </c>
      <c r="D66" s="13" t="s">
        <v>10</v>
      </c>
      <c r="E66" s="858" t="s">
        <v>407</v>
      </c>
      <c r="F66" s="859"/>
      <c r="G66" s="341">
        <f>'Kalkulace a Porovnání'!G66</f>
        <v>0</v>
      </c>
      <c r="H66" s="341">
        <f>'Kalkulace a Porovnání'!H66</f>
        <v>0</v>
      </c>
      <c r="K66" s="12" t="s">
        <v>79</v>
      </c>
      <c r="L66" s="21" t="s">
        <v>408</v>
      </c>
      <c r="M66" s="13" t="s">
        <v>10</v>
      </c>
      <c r="N66" s="858" t="s">
        <v>407</v>
      </c>
      <c r="O66" s="859"/>
      <c r="P66" s="341">
        <f>'Kalkulace a Porovnání'!P66</f>
        <v>0</v>
      </c>
      <c r="Q66" s="341">
        <f>'Kalkulace a Porovnání'!Q66</f>
        <v>0</v>
      </c>
      <c r="T66" s="12" t="s">
        <v>79</v>
      </c>
      <c r="U66" s="21" t="s">
        <v>408</v>
      </c>
      <c r="V66" s="13" t="s">
        <v>10</v>
      </c>
      <c r="W66" s="858" t="s">
        <v>407</v>
      </c>
      <c r="X66" s="859"/>
      <c r="Y66" s="341">
        <f>'Kalkulace a Porovnání'!Y66</f>
        <v>0</v>
      </c>
      <c r="Z66" s="341">
        <f>'Kalkulace a Porovnání'!Z66</f>
        <v>0</v>
      </c>
      <c r="AA66" s="341">
        <f>'Kalkulace a Porovnání'!AA66</f>
        <v>0</v>
      </c>
      <c r="AB66" s="341">
        <f>'Kalkulace a Porovnání'!AB66</f>
        <v>0</v>
      </c>
      <c r="AC66" s="146"/>
      <c r="AD66" s="428"/>
      <c r="AG66" s="428"/>
      <c r="AH66" s="428"/>
      <c r="AI66" s="252"/>
      <c r="AJ66" s="252"/>
      <c r="AK66" s="252"/>
    </row>
    <row r="67" spans="2:37" x14ac:dyDescent="0.25">
      <c r="B67" s="12" t="s">
        <v>80</v>
      </c>
      <c r="C67" s="497" t="s">
        <v>354</v>
      </c>
      <c r="D67" s="13" t="s">
        <v>10</v>
      </c>
      <c r="E67" s="858" t="s">
        <v>409</v>
      </c>
      <c r="F67" s="870"/>
      <c r="G67" s="341">
        <f>'Kalkulace a Porovnání'!G67</f>
        <v>1.8016360766120544E-2</v>
      </c>
      <c r="H67" s="341">
        <f>'Kalkulace a Porovnání'!H67</f>
        <v>7.5068701841095903E-2</v>
      </c>
      <c r="K67" s="12" t="s">
        <v>80</v>
      </c>
      <c r="L67" s="497" t="s">
        <v>354</v>
      </c>
      <c r="M67" s="13" t="s">
        <v>10</v>
      </c>
      <c r="N67" s="858" t="s">
        <v>409</v>
      </c>
      <c r="O67" s="870"/>
      <c r="P67" s="341">
        <f>'Kalkulace a Porovnání'!P67</f>
        <v>0</v>
      </c>
      <c r="Q67" s="341">
        <f>'Kalkulace a Porovnání'!Q67</f>
        <v>0</v>
      </c>
      <c r="T67" s="12" t="s">
        <v>80</v>
      </c>
      <c r="U67" s="536" t="s">
        <v>354</v>
      </c>
      <c r="V67" s="13" t="s">
        <v>10</v>
      </c>
      <c r="W67" s="858" t="s">
        <v>409</v>
      </c>
      <c r="X67" s="870"/>
      <c r="Y67" s="341">
        <f>'Kalkulace a Porovnání'!Y67</f>
        <v>2.3999896640999999E-2</v>
      </c>
      <c r="Z67" s="341">
        <f>'Kalkulace a Porovnání'!Z67</f>
        <v>1.8016360766120544E-2</v>
      </c>
      <c r="AA67" s="341">
        <f>'Kalkulace a Porovnání'!AA67</f>
        <v>0.100000278</v>
      </c>
      <c r="AB67" s="341">
        <f>'Kalkulace a Porovnání'!AB67</f>
        <v>7.5068701841095903E-2</v>
      </c>
      <c r="AC67" s="146"/>
      <c r="AD67" s="428"/>
      <c r="AG67" s="428"/>
      <c r="AH67" s="428"/>
      <c r="AI67" s="252"/>
      <c r="AJ67" s="252"/>
      <c r="AK67" s="252"/>
    </row>
    <row r="68" spans="2:37" x14ac:dyDescent="0.25">
      <c r="B68" s="12" t="s">
        <v>82</v>
      </c>
      <c r="C68" s="13" t="s">
        <v>395</v>
      </c>
      <c r="D68" s="13" t="s">
        <v>10</v>
      </c>
      <c r="E68" s="858" t="s">
        <v>410</v>
      </c>
      <c r="F68" s="859"/>
      <c r="G68" s="341">
        <f>'Kalkulace a Porovnání'!G68</f>
        <v>0.61481082300836709</v>
      </c>
      <c r="H68" s="341">
        <f>'Kalkulace a Porovnání'!H68</f>
        <v>1.6244823764493153</v>
      </c>
      <c r="K68" s="12" t="s">
        <v>82</v>
      </c>
      <c r="L68" s="13" t="s">
        <v>395</v>
      </c>
      <c r="M68" s="13" t="s">
        <v>10</v>
      </c>
      <c r="N68" s="858" t="s">
        <v>410</v>
      </c>
      <c r="O68" s="859"/>
      <c r="P68" s="341">
        <f>'Kalkulace a Porovnání'!P68</f>
        <v>0</v>
      </c>
      <c r="Q68" s="341">
        <f>'Kalkulace a Porovnání'!Q68</f>
        <v>0</v>
      </c>
      <c r="T68" s="12" t="s">
        <v>82</v>
      </c>
      <c r="U68" s="13" t="s">
        <v>395</v>
      </c>
      <c r="V68" s="13" t="s">
        <v>10</v>
      </c>
      <c r="W68" s="858" t="s">
        <v>410</v>
      </c>
      <c r="X68" s="859"/>
      <c r="Y68" s="341">
        <f>'Kalkulace a Porovnání'!Y68</f>
        <v>0.25971496513415071</v>
      </c>
      <c r="Z68" s="341">
        <f>'Kalkulace a Porovnání'!Z68</f>
        <v>0.61481082300836709</v>
      </c>
      <c r="AA68" s="341">
        <f>'Kalkulace a Porovnání'!AA68</f>
        <v>0.76360575745205483</v>
      </c>
      <c r="AB68" s="341">
        <f>'Kalkulace a Porovnání'!AB68</f>
        <v>1.6244823764493153</v>
      </c>
      <c r="AC68" s="146"/>
      <c r="AD68" s="428"/>
      <c r="AG68" s="428"/>
      <c r="AH68" s="428"/>
      <c r="AI68" s="252"/>
      <c r="AJ68" s="252"/>
      <c r="AK68" s="252"/>
    </row>
    <row r="69" spans="2:37" x14ac:dyDescent="0.25">
      <c r="B69" s="12" t="s">
        <v>83</v>
      </c>
      <c r="C69" s="13" t="s">
        <v>81</v>
      </c>
      <c r="D69" s="13" t="s">
        <v>58</v>
      </c>
      <c r="E69" s="858" t="s">
        <v>411</v>
      </c>
      <c r="F69" s="859"/>
      <c r="G69" s="341">
        <f>'Kalkulace a Porovnání'!G69</f>
        <v>2.5022828547945207E-2</v>
      </c>
      <c r="H69" s="341">
        <f>'Kalkulace a Porovnání'!H69</f>
        <v>3.3030136986301369E-2</v>
      </c>
      <c r="K69" s="12" t="s">
        <v>83</v>
      </c>
      <c r="L69" s="13" t="s">
        <v>81</v>
      </c>
      <c r="M69" s="13" t="s">
        <v>58</v>
      </c>
      <c r="N69" s="858" t="s">
        <v>411</v>
      </c>
      <c r="O69" s="859"/>
      <c r="P69" s="341">
        <f>'Kalkulace a Porovnání'!P69</f>
        <v>0</v>
      </c>
      <c r="Q69" s="341">
        <f>'Kalkulace a Porovnání'!Q69</f>
        <v>0</v>
      </c>
      <c r="T69" s="12" t="s">
        <v>83</v>
      </c>
      <c r="U69" s="13" t="s">
        <v>81</v>
      </c>
      <c r="V69" s="13" t="s">
        <v>58</v>
      </c>
      <c r="W69" s="858" t="s">
        <v>411</v>
      </c>
      <c r="X69" s="859"/>
      <c r="Y69" s="341">
        <f>'Kalkulace a Porovnání'!Y69</f>
        <v>0</v>
      </c>
      <c r="Z69" s="341">
        <f>'Kalkulace a Porovnání'!Z69</f>
        <v>2.5022828547945207E-2</v>
      </c>
      <c r="AA69" s="341">
        <f>'Kalkulace a Porovnání'!AA69</f>
        <v>0</v>
      </c>
      <c r="AB69" s="341">
        <f>'Kalkulace a Porovnání'!AB69</f>
        <v>3.3030136986301369E-2</v>
      </c>
      <c r="AC69" s="146"/>
      <c r="AD69" s="428"/>
      <c r="AG69" s="428"/>
      <c r="AH69" s="428"/>
      <c r="AI69" s="252"/>
      <c r="AJ69" s="252"/>
      <c r="AK69" s="252"/>
    </row>
    <row r="70" spans="2:37" x14ac:dyDescent="0.25">
      <c r="B70" s="12" t="s">
        <v>155</v>
      </c>
      <c r="C70" s="13" t="s">
        <v>393</v>
      </c>
      <c r="D70" s="13" t="s">
        <v>73</v>
      </c>
      <c r="E70" s="854" t="s">
        <v>412</v>
      </c>
      <c r="F70" s="855"/>
      <c r="G70" s="138">
        <f>'Kalkulace a Porovnání'!G70</f>
        <v>24.569997026129698</v>
      </c>
      <c r="H70" s="138">
        <f>'Kalkulace a Porovnání'!H70</f>
        <v>49.181823772727277</v>
      </c>
      <c r="K70" s="12" t="s">
        <v>155</v>
      </c>
      <c r="L70" s="13" t="s">
        <v>393</v>
      </c>
      <c r="M70" s="13" t="s">
        <v>73</v>
      </c>
      <c r="N70" s="854" t="s">
        <v>412</v>
      </c>
      <c r="O70" s="855"/>
      <c r="P70" s="138">
        <f>'Kalkulace a Porovnání'!P70</f>
        <v>0</v>
      </c>
      <c r="Q70" s="138">
        <f>'Kalkulace a Porovnání'!Q70</f>
        <v>0</v>
      </c>
      <c r="T70" s="12" t="s">
        <v>155</v>
      </c>
      <c r="U70" s="13" t="s">
        <v>393</v>
      </c>
      <c r="V70" s="13" t="s">
        <v>73</v>
      </c>
      <c r="W70" s="854" t="s">
        <v>412</v>
      </c>
      <c r="X70" s="855"/>
      <c r="Y70" s="138">
        <f>'Kalkulace a Porovnání'!Y70</f>
        <v>0</v>
      </c>
      <c r="Z70" s="138">
        <f>'Kalkulace a Porovnání'!Z70</f>
        <v>24.569997026129698</v>
      </c>
      <c r="AA70" s="138">
        <f>'Kalkulace a Porovnání'!AA70</f>
        <v>0</v>
      </c>
      <c r="AB70" s="138">
        <f>'Kalkulace a Porovnání'!AB70</f>
        <v>49.181823772727277</v>
      </c>
      <c r="AC70" s="146"/>
      <c r="AD70" s="428"/>
      <c r="AG70" s="428"/>
      <c r="AH70" s="428"/>
      <c r="AI70" s="252"/>
      <c r="AJ70" s="252"/>
      <c r="AK70" s="252"/>
    </row>
    <row r="71" spans="2:37" x14ac:dyDescent="0.25">
      <c r="B71" s="210" t="s">
        <v>355</v>
      </c>
      <c r="C71" s="244" t="str">
        <f>CONCATENATE("UPLATŇOVANÁ CENA pro vodné, stočné + ",Provozování!E97*100,"% DPH")</f>
        <v>UPLATŇOVANÁ CENA pro vodné, stočné + 12% DPH</v>
      </c>
      <c r="D71" s="244" t="s">
        <v>73</v>
      </c>
      <c r="E71" s="854" t="s">
        <v>413</v>
      </c>
      <c r="F71" s="855"/>
      <c r="G71" s="138">
        <f>'Kalkulace a Porovnání'!G71</f>
        <v>27.518396669265265</v>
      </c>
      <c r="H71" s="138">
        <f>'Kalkulace a Porovnání'!H71</f>
        <v>55.083642625454559</v>
      </c>
      <c r="K71" s="210" t="s">
        <v>355</v>
      </c>
      <c r="L71" s="244" t="str">
        <f>C71</f>
        <v>UPLATŇOVANÁ CENA pro vodné, stočné + 12% DPH</v>
      </c>
      <c r="M71" s="244" t="s">
        <v>73</v>
      </c>
      <c r="N71" s="854" t="s">
        <v>413</v>
      </c>
      <c r="O71" s="855"/>
      <c r="P71" s="138">
        <f>'Kalkulace a Porovnání'!P71</f>
        <v>0</v>
      </c>
      <c r="Q71" s="138">
        <f>'Kalkulace a Porovnání'!Q71</f>
        <v>0</v>
      </c>
      <c r="T71" s="12" t="s">
        <v>355</v>
      </c>
      <c r="U71" s="13" t="str">
        <f>C71</f>
        <v>UPLATŇOVANÁ CENA pro vodné, stočné + 12% DPH</v>
      </c>
      <c r="V71" s="13" t="s">
        <v>73</v>
      </c>
      <c r="W71" s="854" t="s">
        <v>413</v>
      </c>
      <c r="X71" s="855"/>
      <c r="Y71" s="138">
        <f>'Kalkulace a Porovnání'!Y71</f>
        <v>0</v>
      </c>
      <c r="Z71" s="138">
        <f>'Kalkulace a Porovnání'!Z71</f>
        <v>27.518396669265265</v>
      </c>
      <c r="AA71" s="138">
        <f>'Kalkulace a Porovnání'!AA71</f>
        <v>0</v>
      </c>
      <c r="AB71" s="138">
        <f>'Kalkulace a Porovnání'!AB71</f>
        <v>55.083642625454559</v>
      </c>
      <c r="AC71" s="146"/>
      <c r="AD71" s="428"/>
      <c r="AG71" s="428"/>
      <c r="AH71" s="428"/>
      <c r="AI71" s="252"/>
      <c r="AJ71" s="252"/>
      <c r="AK71" s="252"/>
    </row>
    <row r="72" spans="2:37" x14ac:dyDescent="0.25">
      <c r="B72" s="210" t="s">
        <v>356</v>
      </c>
      <c r="C72" s="244" t="s">
        <v>357</v>
      </c>
      <c r="D72" s="244"/>
      <c r="E72" s="884" t="s">
        <v>414</v>
      </c>
      <c r="F72" s="869"/>
      <c r="G72" s="138">
        <f>'Kalkulace a Porovnání'!G72</f>
        <v>0</v>
      </c>
      <c r="H72" s="138">
        <f>'Kalkulace a Porovnání'!H72</f>
        <v>0</v>
      </c>
      <c r="K72" s="210" t="s">
        <v>356</v>
      </c>
      <c r="L72" s="244" t="s">
        <v>357</v>
      </c>
      <c r="M72" s="244"/>
      <c r="N72" s="884" t="s">
        <v>414</v>
      </c>
      <c r="O72" s="869"/>
      <c r="P72" s="138">
        <f>'Kalkulace a Porovnání'!P72</f>
        <v>0</v>
      </c>
      <c r="Q72" s="138">
        <f>'Kalkulace a Porovnání'!Q72</f>
        <v>0</v>
      </c>
      <c r="T72" s="12" t="s">
        <v>356</v>
      </c>
      <c r="U72" s="13" t="s">
        <v>357</v>
      </c>
      <c r="V72" s="13"/>
      <c r="W72" s="884" t="s">
        <v>414</v>
      </c>
      <c r="X72" s="869"/>
      <c r="Y72" s="530">
        <f>'Kalkulace a Porovnání'!Y72</f>
        <v>0</v>
      </c>
      <c r="Z72" s="530">
        <f>'Kalkulace a Porovnání'!Z72</f>
        <v>0</v>
      </c>
      <c r="AA72" s="530">
        <f>'Kalkulace a Porovnání'!AA72</f>
        <v>0</v>
      </c>
      <c r="AB72" s="530">
        <f>'Kalkulace a Porovnání'!AB72</f>
        <v>0</v>
      </c>
      <c r="AC72" s="146"/>
      <c r="AD72" s="428"/>
      <c r="AG72" s="428"/>
      <c r="AH72" s="428"/>
      <c r="AI72" s="252"/>
      <c r="AJ72" s="252"/>
      <c r="AK72" s="252"/>
    </row>
    <row r="73" spans="2:37" ht="15" customHeight="1" x14ac:dyDescent="0.25">
      <c r="B73" s="29"/>
      <c r="C73" s="29"/>
      <c r="D73" s="29"/>
      <c r="E73" s="29"/>
      <c r="F73" s="29"/>
      <c r="G73" s="29"/>
      <c r="H73" s="29"/>
      <c r="I73" s="29"/>
      <c r="J73" s="29"/>
      <c r="K73" s="29"/>
      <c r="L73" s="29"/>
      <c r="M73" s="29"/>
      <c r="N73" s="29"/>
      <c r="O73" s="29"/>
      <c r="P73" s="29"/>
      <c r="Q73" s="29"/>
      <c r="R73" s="29"/>
      <c r="T73" s="1121" t="s">
        <v>364</v>
      </c>
      <c r="U73" s="1121" t="s">
        <v>154</v>
      </c>
      <c r="V73" s="1122" t="s">
        <v>10</v>
      </c>
      <c r="W73" s="854" t="s">
        <v>156</v>
      </c>
      <c r="X73" s="858"/>
      <c r="Y73" s="89" t="s">
        <v>158</v>
      </c>
      <c r="Z73" s="92" t="s">
        <v>159</v>
      </c>
      <c r="AA73" s="89" t="s">
        <v>158</v>
      </c>
      <c r="AB73" s="92" t="s">
        <v>159</v>
      </c>
      <c r="AC73" s="146"/>
      <c r="AD73" s="428"/>
      <c r="AG73" s="428"/>
      <c r="AH73" s="428"/>
      <c r="AI73" s="252"/>
      <c r="AJ73" s="252"/>
      <c r="AK73" s="252"/>
    </row>
    <row r="74" spans="2:37" x14ac:dyDescent="0.25">
      <c r="B74" s="383"/>
      <c r="C74" s="382"/>
      <c r="D74" s="382"/>
      <c r="E74" s="382"/>
      <c r="F74" s="382"/>
      <c r="G74" s="29"/>
      <c r="H74" s="29"/>
      <c r="I74" s="29"/>
      <c r="J74" s="29"/>
      <c r="K74" s="29"/>
      <c r="L74" s="29"/>
      <c r="M74" s="29"/>
      <c r="N74" s="29"/>
      <c r="O74" s="29"/>
      <c r="P74" s="29"/>
      <c r="Q74" s="29"/>
      <c r="R74" s="29"/>
      <c r="T74" s="1121"/>
      <c r="U74" s="1121"/>
      <c r="V74" s="1122"/>
      <c r="W74" s="1123">
        <f>'Kalkulace a Porovnání'!W74</f>
        <v>0</v>
      </c>
      <c r="X74" s="1124"/>
      <c r="Y74" s="90">
        <f>'Kalkulace a Porovnání'!Y74</f>
        <v>2024</v>
      </c>
      <c r="Z74" s="90">
        <f>'Kalkulace a Porovnání'!Z74</f>
        <v>2024</v>
      </c>
      <c r="AA74" s="90">
        <f>'Kalkulace a Porovnání'!AA74</f>
        <v>2024</v>
      </c>
      <c r="AB74" s="90">
        <f>'Kalkulace a Porovnání'!AB74</f>
        <v>2024</v>
      </c>
      <c r="AC74" s="146"/>
      <c r="AD74" s="428"/>
      <c r="AG74" s="428"/>
      <c r="AH74" s="428"/>
      <c r="AI74" s="252"/>
      <c r="AJ74" s="252"/>
      <c r="AK74" s="252"/>
    </row>
    <row r="75" spans="2:37" x14ac:dyDescent="0.25">
      <c r="B75" s="383"/>
      <c r="C75" s="382"/>
      <c r="D75" s="382"/>
      <c r="E75" s="382"/>
      <c r="F75" s="382"/>
      <c r="G75" s="29"/>
      <c r="H75" s="29"/>
      <c r="I75" s="29"/>
      <c r="J75" s="29"/>
      <c r="K75" s="29"/>
      <c r="L75" s="29"/>
      <c r="M75" s="29"/>
      <c r="N75" s="29"/>
      <c r="O75" s="29"/>
      <c r="P75" s="29"/>
      <c r="Q75" s="29"/>
      <c r="R75" s="29"/>
      <c r="T75" s="1121"/>
      <c r="U75" s="1121"/>
      <c r="V75" s="1122"/>
      <c r="W75" s="854" t="s">
        <v>157</v>
      </c>
      <c r="X75" s="858"/>
      <c r="Y75" s="91" t="s">
        <v>160</v>
      </c>
      <c r="Z75" s="91" t="s">
        <v>160</v>
      </c>
      <c r="AA75" s="91" t="s">
        <v>161</v>
      </c>
      <c r="AB75" s="91" t="s">
        <v>161</v>
      </c>
      <c r="AC75" s="146"/>
      <c r="AD75" s="428"/>
      <c r="AG75" s="428"/>
      <c r="AH75" s="428"/>
      <c r="AI75" s="252"/>
      <c r="AJ75" s="252"/>
      <c r="AK75" s="252"/>
    </row>
    <row r="76" spans="2:37" x14ac:dyDescent="0.25">
      <c r="B76" s="382"/>
      <c r="C76" s="382"/>
      <c r="D76" s="382"/>
      <c r="E76" s="382"/>
      <c r="F76" s="382"/>
      <c r="G76" s="29"/>
      <c r="H76" s="29"/>
      <c r="I76" s="29"/>
      <c r="J76" s="29"/>
      <c r="K76" s="29"/>
      <c r="L76" s="29"/>
      <c r="M76" s="29"/>
      <c r="N76" s="29"/>
      <c r="O76" s="29"/>
      <c r="P76" s="29"/>
      <c r="Q76" s="29"/>
      <c r="R76" s="29"/>
      <c r="T76" s="1121"/>
      <c r="U76" s="1121"/>
      <c r="V76" s="1122"/>
      <c r="W76" s="1125">
        <f>'Kalkulace a Porovnání'!W76</f>
        <v>0</v>
      </c>
      <c r="X76" s="1125"/>
      <c r="Y76" s="341">
        <f>'Kalkulace a Porovnání'!Y76</f>
        <v>0</v>
      </c>
      <c r="Z76" s="341">
        <f>'Kalkulace a Porovnání'!Z76</f>
        <v>0</v>
      </c>
      <c r="AA76" s="341">
        <f>'Kalkulace a Porovnání'!AA76</f>
        <v>0</v>
      </c>
      <c r="AB76" s="341">
        <f>'Kalkulace a Porovnání'!AB76</f>
        <v>0</v>
      </c>
      <c r="AC76" s="146"/>
      <c r="AD76" s="428"/>
      <c r="AG76" s="428"/>
      <c r="AH76" s="428"/>
      <c r="AI76" s="252"/>
      <c r="AJ76" s="252"/>
      <c r="AK76" s="252"/>
    </row>
    <row r="77" spans="2:37" x14ac:dyDescent="0.25">
      <c r="B77" s="29"/>
      <c r="AC77" s="146"/>
      <c r="AD77" s="428"/>
      <c r="AG77" s="428"/>
      <c r="AH77" s="428"/>
      <c r="AI77" s="252"/>
      <c r="AJ77" s="252"/>
      <c r="AK77" s="252"/>
    </row>
    <row r="78" spans="2:37" x14ac:dyDescent="0.25">
      <c r="B78" s="899" t="s">
        <v>316</v>
      </c>
      <c r="C78" s="900"/>
      <c r="D78" s="900"/>
      <c r="E78" s="900"/>
      <c r="F78" s="900"/>
      <c r="G78" s="900"/>
      <c r="H78" s="900"/>
      <c r="K78" s="899" t="s">
        <v>317</v>
      </c>
      <c r="L78" s="900"/>
      <c r="M78" s="900"/>
      <c r="N78" s="900"/>
      <c r="O78" s="900"/>
      <c r="P78" s="900"/>
      <c r="Q78" s="900"/>
      <c r="T78" s="899" t="s">
        <v>162</v>
      </c>
      <c r="U78" s="900"/>
      <c r="V78" s="900"/>
      <c r="W78" s="900"/>
      <c r="X78" s="900"/>
      <c r="Y78" s="900"/>
      <c r="Z78" s="900"/>
      <c r="AA78" s="900"/>
      <c r="AB78" s="900"/>
      <c r="AC78" s="146"/>
      <c r="AD78" s="428"/>
      <c r="AG78" s="431"/>
      <c r="AH78" s="431"/>
      <c r="AI78" s="252"/>
      <c r="AJ78" s="252"/>
      <c r="AK78" s="252"/>
    </row>
    <row r="79" spans="2:37" x14ac:dyDescent="0.25">
      <c r="C79" s="272"/>
      <c r="E79" s="25"/>
      <c r="F79" s="25"/>
      <c r="L79" s="25"/>
      <c r="N79" s="25"/>
      <c r="T79" s="1079" t="s">
        <v>318</v>
      </c>
      <c r="U79" s="1079"/>
      <c r="V79" s="1079"/>
      <c r="W79" s="1079"/>
      <c r="X79" s="1079"/>
      <c r="Y79" s="1079"/>
      <c r="Z79" s="1079"/>
      <c r="AA79" s="1079"/>
      <c r="AB79" s="1079"/>
      <c r="AC79" s="146"/>
      <c r="AD79" s="428"/>
      <c r="AG79" s="428"/>
      <c r="AH79" s="428"/>
      <c r="AI79" s="252"/>
      <c r="AJ79" s="252"/>
      <c r="AK79" s="252"/>
    </row>
    <row r="80" spans="2:37" x14ac:dyDescent="0.25">
      <c r="C80" s="272" t="s">
        <v>103</v>
      </c>
      <c r="D80" s="274">
        <f>'Kalkulace a Porovnání'!D80</f>
        <v>2025</v>
      </c>
      <c r="E80" s="25"/>
      <c r="F80" s="272" t="s">
        <v>221</v>
      </c>
      <c r="G80" s="275">
        <f>'Kalkulace a Porovnání'!G80</f>
        <v>45658</v>
      </c>
      <c r="H80" s="275" t="str">
        <f>'Kalkulace a Porovnání'!H80</f>
        <v>- 31.12.2025</v>
      </c>
      <c r="L80" s="272" t="s">
        <v>103</v>
      </c>
      <c r="M80" s="274">
        <f>'Kalkulace a Porovnání'!M80</f>
        <v>2025</v>
      </c>
      <c r="O80" s="272" t="s">
        <v>221</v>
      </c>
      <c r="P80" s="275" t="str">
        <f>'Kalkulace a Porovnání'!P80</f>
        <v>-</v>
      </c>
      <c r="Q80" s="275" t="str">
        <f>'Kalkulace a Porovnání'!Q80</f>
        <v xml:space="preserve"> </v>
      </c>
      <c r="T80" s="333"/>
      <c r="U80" s="333"/>
      <c r="V80" s="342" t="s">
        <v>147</v>
      </c>
      <c r="W80" s="274">
        <f>'Kalkulace a Porovnání'!W80</f>
        <v>2025</v>
      </c>
      <c r="Z80" s="272" t="s">
        <v>221</v>
      </c>
      <c r="AA80" s="275">
        <f>'Kalkulace a Porovnání'!AA80</f>
        <v>45658</v>
      </c>
      <c r="AB80" s="275" t="str">
        <f>'Kalkulace a Porovnání'!AB80</f>
        <v>- 31.12.2025</v>
      </c>
      <c r="AC80" s="146"/>
      <c r="AD80" s="428"/>
      <c r="AG80" s="428"/>
      <c r="AH80" s="428"/>
      <c r="AI80" s="252"/>
      <c r="AJ80" s="252"/>
      <c r="AK80" s="252"/>
    </row>
    <row r="81" spans="2:38" x14ac:dyDescent="0.25">
      <c r="B81" s="13" t="s">
        <v>66</v>
      </c>
      <c r="C81" s="13" t="s">
        <v>89</v>
      </c>
      <c r="D81" s="1061" t="str">
        <f>'Kalkulace a Porovnání'!D81</f>
        <v>PRVOK s.r.o., IČ 281 28 257</v>
      </c>
      <c r="E81" s="1062"/>
      <c r="F81" s="1062"/>
      <c r="G81" s="1062"/>
      <c r="H81" s="1063"/>
      <c r="K81" s="13" t="s">
        <v>66</v>
      </c>
      <c r="L81" s="13" t="s">
        <v>89</v>
      </c>
      <c r="M81" s="1061" t="str">
        <f>'Kalkulace a Porovnání'!M81</f>
        <v>PRVOK s.r.o., IČ 281 28 257</v>
      </c>
      <c r="N81" s="1062"/>
      <c r="O81" s="1062"/>
      <c r="P81" s="1062"/>
      <c r="Q81" s="1063"/>
      <c r="T81" s="13" t="s">
        <v>66</v>
      </c>
      <c r="U81" s="13" t="s">
        <v>89</v>
      </c>
      <c r="V81" s="1080" t="str">
        <f>'Kalkulace a Porovnání'!V81</f>
        <v>PRVOK s.r.o., IČ 281 28 257</v>
      </c>
      <c r="W81" s="1081"/>
      <c r="X81" s="1081"/>
      <c r="Y81" s="1081"/>
      <c r="Z81" s="1081"/>
      <c r="AA81" s="1081"/>
      <c r="AB81" s="1081"/>
      <c r="AC81" s="146"/>
      <c r="AD81" s="428"/>
      <c r="AG81" s="252"/>
      <c r="AH81" s="252"/>
      <c r="AI81" s="252"/>
      <c r="AJ81" s="252"/>
      <c r="AK81" s="252"/>
    </row>
    <row r="82" spans="2:38" x14ac:dyDescent="0.25">
      <c r="B82" s="13" t="s">
        <v>84</v>
      </c>
      <c r="C82" s="13" t="s">
        <v>90</v>
      </c>
      <c r="D82" s="1061" t="str">
        <f>'Kalkulace a Porovnání'!D82</f>
        <v>PRVOK s.r.o., IČ 281 28 257</v>
      </c>
      <c r="E82" s="1062"/>
      <c r="F82" s="1062"/>
      <c r="G82" s="1062"/>
      <c r="H82" s="1063"/>
      <c r="K82" s="13" t="s">
        <v>84</v>
      </c>
      <c r="L82" s="13" t="s">
        <v>90</v>
      </c>
      <c r="M82" s="1061" t="str">
        <f>'Kalkulace a Porovnání'!M82</f>
        <v>PRVOK s.r.o., IČ 281 28 257</v>
      </c>
      <c r="N82" s="1062"/>
      <c r="O82" s="1062"/>
      <c r="P82" s="1062"/>
      <c r="Q82" s="1063"/>
      <c r="T82" s="13" t="s">
        <v>84</v>
      </c>
      <c r="U82" s="13" t="s">
        <v>90</v>
      </c>
      <c r="V82" s="1080" t="str">
        <f>'Kalkulace a Porovnání'!V82</f>
        <v>PRVOK s.r.o., IČ 281 28 257</v>
      </c>
      <c r="W82" s="1081"/>
      <c r="X82" s="1081"/>
      <c r="Y82" s="1081"/>
      <c r="Z82" s="1081"/>
      <c r="AA82" s="1081"/>
      <c r="AB82" s="1081"/>
      <c r="AC82" s="146"/>
      <c r="AD82" s="428"/>
      <c r="AG82" s="252"/>
      <c r="AH82" s="252"/>
      <c r="AI82" s="252"/>
      <c r="AJ82" s="252"/>
      <c r="AK82" s="252"/>
    </row>
    <row r="83" spans="2:38" x14ac:dyDescent="0.25">
      <c r="B83" s="13" t="s">
        <v>85</v>
      </c>
      <c r="C83" s="13" t="s">
        <v>91</v>
      </c>
      <c r="D83" s="1061" t="str">
        <f>'Kalkulace a Porovnání'!D83</f>
        <v>Obec Benešov nad Černou, IČ 00245780</v>
      </c>
      <c r="E83" s="1062"/>
      <c r="F83" s="1062"/>
      <c r="G83" s="1062"/>
      <c r="H83" s="1063"/>
      <c r="K83" s="13" t="s">
        <v>85</v>
      </c>
      <c r="L83" s="13" t="s">
        <v>91</v>
      </c>
      <c r="M83" s="1061" t="str">
        <f>'Kalkulace a Porovnání'!M83</f>
        <v>Obec Benešov nad Černou, IČ 00245780</v>
      </c>
      <c r="N83" s="1062"/>
      <c r="O83" s="1062"/>
      <c r="P83" s="1062"/>
      <c r="Q83" s="1063"/>
      <c r="T83" s="13" t="s">
        <v>85</v>
      </c>
      <c r="U83" s="13" t="s">
        <v>91</v>
      </c>
      <c r="V83" s="1080" t="str">
        <f>'Kalkulace a Porovnání'!V83</f>
        <v>Obec Benešov nad Černou, IČ 00245780</v>
      </c>
      <c r="W83" s="1081"/>
      <c r="X83" s="1081"/>
      <c r="Y83" s="1081"/>
      <c r="Z83" s="1081"/>
      <c r="AA83" s="1081"/>
      <c r="AB83" s="1081"/>
      <c r="AC83" s="146"/>
      <c r="AD83" s="428"/>
      <c r="AG83" s="252"/>
      <c r="AH83" s="252"/>
      <c r="AI83" s="252"/>
      <c r="AJ83" s="252"/>
      <c r="AK83" s="428"/>
      <c r="AL83" s="146"/>
    </row>
    <row r="84" spans="2:38" x14ac:dyDescent="0.25">
      <c r="B84" s="13" t="s">
        <v>86</v>
      </c>
      <c r="C84" s="13" t="s">
        <v>93</v>
      </c>
      <c r="D84" s="1061" t="str">
        <f>'Kalkulace a Porovnání'!D84</f>
        <v>A</v>
      </c>
      <c r="E84" s="1062"/>
      <c r="F84" s="1062"/>
      <c r="G84" s="1062"/>
      <c r="H84" s="1063"/>
      <c r="K84" s="13" t="s">
        <v>86</v>
      </c>
      <c r="L84" s="13" t="s">
        <v>93</v>
      </c>
      <c r="M84" s="1061" t="str">
        <f>'Kalkulace a Porovnání'!M84</f>
        <v>A</v>
      </c>
      <c r="N84" s="1062"/>
      <c r="O84" s="1062"/>
      <c r="P84" s="1062"/>
      <c r="Q84" s="1063"/>
      <c r="T84" s="13" t="s">
        <v>86</v>
      </c>
      <c r="U84" s="13" t="s">
        <v>93</v>
      </c>
      <c r="V84" s="1080" t="str">
        <f>'Kalkulace a Porovnání'!V84</f>
        <v>A</v>
      </c>
      <c r="W84" s="1081"/>
      <c r="X84" s="1081"/>
      <c r="Y84" s="1081"/>
      <c r="Z84" s="1081"/>
      <c r="AA84" s="1081"/>
      <c r="AB84" s="1081"/>
      <c r="AC84" s="146"/>
      <c r="AD84" s="428"/>
      <c r="AG84" s="252"/>
      <c r="AH84" s="252"/>
      <c r="AI84" s="252"/>
      <c r="AJ84" s="252"/>
      <c r="AK84" s="428"/>
      <c r="AL84" s="146"/>
    </row>
    <row r="85" spans="2:38" x14ac:dyDescent="0.25">
      <c r="B85" s="13" t="s">
        <v>87</v>
      </c>
      <c r="C85" s="13" t="s">
        <v>92</v>
      </c>
      <c r="D85" s="1061">
        <f>'Kalkulace a Porovnání'!D85</f>
        <v>1</v>
      </c>
      <c r="E85" s="1062"/>
      <c r="F85" s="1062"/>
      <c r="G85" s="1062"/>
      <c r="H85" s="1063"/>
      <c r="K85" s="13" t="s">
        <v>87</v>
      </c>
      <c r="L85" s="13" t="s">
        <v>92</v>
      </c>
      <c r="M85" s="1061">
        <f>'Kalkulace a Porovnání'!M85</f>
        <v>1</v>
      </c>
      <c r="N85" s="1062"/>
      <c r="O85" s="1062"/>
      <c r="P85" s="1062"/>
      <c r="Q85" s="1063"/>
      <c r="T85" s="13" t="s">
        <v>87</v>
      </c>
      <c r="U85" s="13" t="s">
        <v>92</v>
      </c>
      <c r="V85" s="1080">
        <f>'Kalkulace a Porovnání'!V85</f>
        <v>1</v>
      </c>
      <c r="W85" s="1081"/>
      <c r="X85" s="1081"/>
      <c r="Y85" s="1081"/>
      <c r="Z85" s="1081"/>
      <c r="AA85" s="1081"/>
      <c r="AB85" s="1081"/>
      <c r="AC85" s="146"/>
      <c r="AD85" s="428"/>
      <c r="AG85" s="252"/>
      <c r="AH85" s="252"/>
      <c r="AI85" s="252"/>
      <c r="AJ85" s="252"/>
      <c r="AK85" s="428"/>
      <c r="AL85" s="146"/>
    </row>
    <row r="86" spans="2:38" x14ac:dyDescent="0.25">
      <c r="B86" s="13" t="s">
        <v>88</v>
      </c>
      <c r="C86" s="13" t="s">
        <v>94</v>
      </c>
      <c r="D86" s="1061" t="str">
        <f>'Kalkulace a Porovnání'!D86</f>
        <v>[vyplnit]</v>
      </c>
      <c r="E86" s="1062"/>
      <c r="F86" s="1062"/>
      <c r="G86" s="1062"/>
      <c r="H86" s="1063"/>
      <c r="K86" s="13" t="s">
        <v>88</v>
      </c>
      <c r="L86" s="13" t="s">
        <v>94</v>
      </c>
      <c r="M86" s="1061" t="str">
        <f>'Kalkulace a Porovnání'!M86</f>
        <v xml:space="preserve"> </v>
      </c>
      <c r="N86" s="1062"/>
      <c r="O86" s="1062"/>
      <c r="P86" s="1062"/>
      <c r="Q86" s="1063"/>
      <c r="T86" s="13" t="s">
        <v>88</v>
      </c>
      <c r="U86" s="13" t="s">
        <v>94</v>
      </c>
      <c r="V86" s="1080" t="str">
        <f>'Kalkulace a Porovnání'!V86</f>
        <v xml:space="preserve"> </v>
      </c>
      <c r="W86" s="1081"/>
      <c r="X86" s="1081"/>
      <c r="Y86" s="1081"/>
      <c r="Z86" s="1081"/>
      <c r="AA86" s="1081"/>
      <c r="AB86" s="1081"/>
      <c r="AC86" s="146"/>
      <c r="AD86" s="428"/>
      <c r="AG86" s="252"/>
      <c r="AH86" s="252"/>
      <c r="AI86" s="252"/>
      <c r="AJ86" s="252"/>
      <c r="AK86" s="428"/>
      <c r="AL86" s="146"/>
    </row>
    <row r="87" spans="2:38" x14ac:dyDescent="0.25">
      <c r="AC87" s="146"/>
      <c r="AD87" s="428"/>
      <c r="AG87" s="252"/>
      <c r="AH87" s="252"/>
      <c r="AI87" s="252"/>
      <c r="AJ87" s="252"/>
      <c r="AK87" s="428"/>
      <c r="AL87" s="146"/>
    </row>
    <row r="88" spans="2:38" ht="15" customHeight="1" x14ac:dyDescent="0.25">
      <c r="B88" s="1052" t="s">
        <v>5</v>
      </c>
      <c r="C88" s="884" t="s">
        <v>0</v>
      </c>
      <c r="D88" s="868"/>
      <c r="E88" s="868"/>
      <c r="F88" s="868"/>
      <c r="G88" s="868"/>
      <c r="H88" s="869"/>
      <c r="K88" s="1052" t="s">
        <v>5</v>
      </c>
      <c r="L88" s="884" t="s">
        <v>0</v>
      </c>
      <c r="M88" s="868"/>
      <c r="N88" s="868"/>
      <c r="O88" s="868"/>
      <c r="P88" s="868"/>
      <c r="Q88" s="869"/>
      <c r="T88" s="1052" t="s">
        <v>5</v>
      </c>
      <c r="U88" s="884" t="s">
        <v>0</v>
      </c>
      <c r="V88" s="868"/>
      <c r="W88" s="868"/>
      <c r="X88" s="868"/>
      <c r="Y88" s="868"/>
      <c r="Z88" s="868"/>
      <c r="AA88" s="868"/>
      <c r="AB88" s="869"/>
      <c r="AC88" s="146"/>
      <c r="AD88" s="428"/>
      <c r="AG88" s="252"/>
      <c r="AH88" s="252"/>
      <c r="AI88" s="252"/>
      <c r="AJ88" s="252"/>
      <c r="AK88" s="428"/>
      <c r="AL88" s="146"/>
    </row>
    <row r="89" spans="2:38" x14ac:dyDescent="0.25">
      <c r="B89" s="1053"/>
      <c r="C89" s="1052" t="s">
        <v>1</v>
      </c>
      <c r="D89" s="1065" t="s">
        <v>133</v>
      </c>
      <c r="E89" s="884" t="s">
        <v>3</v>
      </c>
      <c r="F89" s="868"/>
      <c r="G89" s="884" t="s">
        <v>4</v>
      </c>
      <c r="H89" s="869"/>
      <c r="K89" s="1053"/>
      <c r="L89" s="1052" t="s">
        <v>1</v>
      </c>
      <c r="M89" s="1065" t="s">
        <v>133</v>
      </c>
      <c r="N89" s="884" t="s">
        <v>3</v>
      </c>
      <c r="O89" s="868"/>
      <c r="P89" s="884" t="s">
        <v>4</v>
      </c>
      <c r="Q89" s="869"/>
      <c r="T89" s="1053"/>
      <c r="U89" s="1052" t="s">
        <v>1</v>
      </c>
      <c r="V89" s="1065" t="s">
        <v>133</v>
      </c>
      <c r="W89" s="884" t="s">
        <v>3</v>
      </c>
      <c r="X89" s="868"/>
      <c r="Y89" s="868"/>
      <c r="Z89" s="884" t="s">
        <v>4</v>
      </c>
      <c r="AA89" s="868"/>
      <c r="AB89" s="869"/>
      <c r="AC89" s="146"/>
      <c r="AD89" s="428"/>
      <c r="AG89" s="252"/>
      <c r="AH89" s="252"/>
      <c r="AI89" s="252"/>
      <c r="AJ89" s="252"/>
      <c r="AK89" s="428"/>
      <c r="AL89" s="146"/>
    </row>
    <row r="90" spans="2:38" x14ac:dyDescent="0.25">
      <c r="B90" s="1053"/>
      <c r="C90" s="1053"/>
      <c r="D90" s="1053"/>
      <c r="E90" s="28">
        <f>'Kalkulace a Porovnání'!E90</f>
        <v>2024</v>
      </c>
      <c r="F90" s="28">
        <f>'Kalkulace a Porovnání'!F90</f>
        <v>2025</v>
      </c>
      <c r="G90" s="28">
        <f>'Kalkulace a Porovnání'!G90</f>
        <v>2024</v>
      </c>
      <c r="H90" s="28">
        <f>'Kalkulace a Porovnání'!H90</f>
        <v>2025</v>
      </c>
      <c r="K90" s="1053"/>
      <c r="L90" s="1053"/>
      <c r="M90" s="1053"/>
      <c r="N90" s="28">
        <f>'Kalkulace a Porovnání'!N90</f>
        <v>2024</v>
      </c>
      <c r="O90" s="28">
        <f>'Kalkulace a Porovnání'!O90</f>
        <v>2025</v>
      </c>
      <c r="P90" s="28">
        <f>'Kalkulace a Porovnání'!P90</f>
        <v>2024</v>
      </c>
      <c r="Q90" s="28">
        <f>'Kalkulace a Porovnání'!Q90</f>
        <v>2025</v>
      </c>
      <c r="T90" s="1053"/>
      <c r="U90" s="1053"/>
      <c r="V90" s="1053"/>
      <c r="W90" s="28">
        <f>'Kalkulace a Porovnání'!W90</f>
        <v>2025</v>
      </c>
      <c r="X90" s="28">
        <f>'Kalkulace a Porovnání'!X90</f>
        <v>2025</v>
      </c>
      <c r="Y90" s="28">
        <f>'Kalkulace a Porovnání'!Y90</f>
        <v>2025</v>
      </c>
      <c r="Z90" s="28">
        <f>'Kalkulace a Porovnání'!Z90</f>
        <v>2025</v>
      </c>
      <c r="AA90" s="28">
        <f>'Kalkulace a Porovnání'!AA90</f>
        <v>2025</v>
      </c>
      <c r="AB90" s="28">
        <f>'Kalkulace a Porovnání'!AB90</f>
        <v>2025</v>
      </c>
      <c r="AC90" s="146"/>
      <c r="AD90" s="428"/>
      <c r="AG90" s="252"/>
      <c r="AH90" s="252"/>
      <c r="AI90" s="252"/>
      <c r="AJ90" s="252"/>
      <c r="AK90" s="428"/>
      <c r="AL90" s="146"/>
    </row>
    <row r="91" spans="2:38" x14ac:dyDescent="0.25">
      <c r="B91" s="1054"/>
      <c r="C91" s="1054"/>
      <c r="D91" s="1054"/>
      <c r="E91" s="7" t="s">
        <v>151</v>
      </c>
      <c r="F91" s="7" t="s">
        <v>98</v>
      </c>
      <c r="G91" s="7" t="s">
        <v>151</v>
      </c>
      <c r="H91" s="19" t="s">
        <v>98</v>
      </c>
      <c r="K91" s="1054"/>
      <c r="L91" s="1054"/>
      <c r="M91" s="1054"/>
      <c r="N91" s="7" t="s">
        <v>151</v>
      </c>
      <c r="O91" s="7" t="s">
        <v>98</v>
      </c>
      <c r="P91" s="7" t="s">
        <v>151</v>
      </c>
      <c r="Q91" s="19" t="s">
        <v>98</v>
      </c>
      <c r="T91" s="1054"/>
      <c r="U91" s="1054"/>
      <c r="V91" s="1054"/>
      <c r="W91" s="7" t="s">
        <v>150</v>
      </c>
      <c r="X91" s="7" t="s">
        <v>98</v>
      </c>
      <c r="Y91" s="7" t="s">
        <v>149</v>
      </c>
      <c r="Z91" s="7" t="s">
        <v>150</v>
      </c>
      <c r="AA91" s="7" t="s">
        <v>98</v>
      </c>
      <c r="AB91" s="19" t="s">
        <v>149</v>
      </c>
      <c r="AC91" s="146"/>
      <c r="AD91" s="428"/>
      <c r="AG91" s="252"/>
      <c r="AH91" s="252"/>
      <c r="AI91" s="252"/>
      <c r="AJ91" s="252"/>
      <c r="AK91" s="428"/>
      <c r="AL91" s="146"/>
    </row>
    <row r="92" spans="2:38" x14ac:dyDescent="0.25">
      <c r="B92" s="11">
        <v>1</v>
      </c>
      <c r="C92" s="11">
        <v>2</v>
      </c>
      <c r="D92" s="11" t="s">
        <v>95</v>
      </c>
      <c r="E92" s="11">
        <v>3</v>
      </c>
      <c r="F92" s="11">
        <v>4</v>
      </c>
      <c r="G92" s="11">
        <v>6</v>
      </c>
      <c r="H92" s="22">
        <v>7</v>
      </c>
      <c r="K92" s="11">
        <v>1</v>
      </c>
      <c r="L92" s="11">
        <v>2</v>
      </c>
      <c r="M92" s="11" t="s">
        <v>95</v>
      </c>
      <c r="N92" s="11">
        <v>3</v>
      </c>
      <c r="O92" s="11">
        <v>4</v>
      </c>
      <c r="P92" s="11">
        <v>6</v>
      </c>
      <c r="Q92" s="22">
        <v>7</v>
      </c>
      <c r="T92" s="11">
        <v>1</v>
      </c>
      <c r="U92" s="11">
        <v>2</v>
      </c>
      <c r="V92" s="11" t="s">
        <v>95</v>
      </c>
      <c r="W92" s="11">
        <v>3</v>
      </c>
      <c r="X92" s="11">
        <v>4</v>
      </c>
      <c r="Y92" s="11">
        <v>5</v>
      </c>
      <c r="Z92" s="11">
        <v>6</v>
      </c>
      <c r="AA92" s="11">
        <v>7</v>
      </c>
      <c r="AB92" s="22">
        <v>8</v>
      </c>
      <c r="AC92" s="146"/>
      <c r="AD92" s="428"/>
      <c r="AG92" s="252"/>
      <c r="AH92" s="252"/>
      <c r="AI92" s="252"/>
      <c r="AJ92" s="252"/>
      <c r="AK92" s="428"/>
      <c r="AL92" s="146"/>
    </row>
    <row r="93" spans="2:38" x14ac:dyDescent="0.25">
      <c r="B93" s="9" t="s">
        <v>8</v>
      </c>
      <c r="C93" s="10" t="s">
        <v>9</v>
      </c>
      <c r="D93" s="11" t="s">
        <v>10</v>
      </c>
      <c r="E93" s="41">
        <f>'Kalkulace a Porovnání'!E93</f>
        <v>0</v>
      </c>
      <c r="F93" s="41">
        <f>'Kalkulace a Porovnání'!F93</f>
        <v>0.12159999930320001</v>
      </c>
      <c r="G93" s="41">
        <f>'Kalkulace a Porovnání'!G93</f>
        <v>0</v>
      </c>
      <c r="H93" s="86">
        <f>'Kalkulace a Porovnání'!H93</f>
        <v>6.2399970879999996E-2</v>
      </c>
      <c r="K93" s="9" t="s">
        <v>8</v>
      </c>
      <c r="L93" s="10" t="s">
        <v>9</v>
      </c>
      <c r="M93" s="11" t="s">
        <v>10</v>
      </c>
      <c r="N93" s="41">
        <f>'Kalkulace a Porovnání'!N93</f>
        <v>0</v>
      </c>
      <c r="O93" s="41">
        <f>'Kalkulace a Porovnání'!O93</f>
        <v>0</v>
      </c>
      <c r="P93" s="41">
        <f>'Kalkulace a Porovnání'!P93</f>
        <v>0</v>
      </c>
      <c r="Q93" s="86">
        <f>'Kalkulace a Porovnání'!Q93</f>
        <v>0</v>
      </c>
      <c r="T93" s="9" t="s">
        <v>8</v>
      </c>
      <c r="U93" s="10" t="s">
        <v>9</v>
      </c>
      <c r="V93" s="11" t="s">
        <v>10</v>
      </c>
      <c r="W93" s="41">
        <f>'Kalkulace a Porovnání'!W93</f>
        <v>0</v>
      </c>
      <c r="X93" s="41">
        <f>'Kalkulace a Porovnání'!X93</f>
        <v>0.12159999930320001</v>
      </c>
      <c r="Y93" s="41">
        <f>'Kalkulace a Porovnání'!Y93</f>
        <v>-0.12159999930320001</v>
      </c>
      <c r="Z93" s="41">
        <f>'Kalkulace a Porovnání'!Z93</f>
        <v>0</v>
      </c>
      <c r="AA93" s="41">
        <f>'Kalkulace a Porovnání'!AA93</f>
        <v>6.2399970879999996E-2</v>
      </c>
      <c r="AB93" s="86">
        <f>'Kalkulace a Porovnání'!AB93</f>
        <v>-6.2399970879999996E-2</v>
      </c>
      <c r="AC93" s="146"/>
      <c r="AD93" s="428"/>
      <c r="AG93" s="252"/>
      <c r="AH93" s="252"/>
      <c r="AI93" s="252"/>
      <c r="AJ93" s="252"/>
      <c r="AK93" s="428"/>
      <c r="AL93" s="146"/>
    </row>
    <row r="94" spans="2:38" x14ac:dyDescent="0.25">
      <c r="B94" s="12" t="s">
        <v>11</v>
      </c>
      <c r="C94" s="13" t="s">
        <v>12</v>
      </c>
      <c r="D94" s="3" t="s">
        <v>10</v>
      </c>
      <c r="E94" s="44">
        <f>'Kalkulace a Porovnání'!E94</f>
        <v>0</v>
      </c>
      <c r="F94" s="44">
        <f>'Kalkulace a Porovnání'!F94</f>
        <v>0.08</v>
      </c>
      <c r="G94" s="44">
        <f>'Kalkulace a Porovnání'!G94</f>
        <v>0</v>
      </c>
      <c r="H94" s="30">
        <f>'Kalkulace a Porovnání'!H94</f>
        <v>0</v>
      </c>
      <c r="K94" s="12" t="s">
        <v>11</v>
      </c>
      <c r="L94" s="13" t="s">
        <v>12</v>
      </c>
      <c r="M94" s="3" t="s">
        <v>10</v>
      </c>
      <c r="N94" s="44">
        <f>'Kalkulace a Porovnání'!N94</f>
        <v>0</v>
      </c>
      <c r="O94" s="44">
        <f>'Kalkulace a Porovnání'!O94</f>
        <v>0</v>
      </c>
      <c r="P94" s="44">
        <f>'Kalkulace a Porovnání'!P94</f>
        <v>0</v>
      </c>
      <c r="Q94" s="30">
        <f>'Kalkulace a Porovnání'!Q94</f>
        <v>0</v>
      </c>
      <c r="T94" s="12" t="s">
        <v>11</v>
      </c>
      <c r="U94" s="13" t="s">
        <v>12</v>
      </c>
      <c r="V94" s="3" t="s">
        <v>10</v>
      </c>
      <c r="W94" s="44">
        <f>'Kalkulace a Porovnání'!W94</f>
        <v>0</v>
      </c>
      <c r="X94" s="44">
        <f>'Kalkulace a Porovnání'!X94</f>
        <v>0.08</v>
      </c>
      <c r="Y94" s="44">
        <f>'Kalkulace a Porovnání'!Y94</f>
        <v>-0.08</v>
      </c>
      <c r="Z94" s="44">
        <f>'Kalkulace a Porovnání'!Z94</f>
        <v>0</v>
      </c>
      <c r="AA94" s="44">
        <f>'Kalkulace a Porovnání'!AA94</f>
        <v>0</v>
      </c>
      <c r="AB94" s="30">
        <f>'Kalkulace a Porovnání'!AB94</f>
        <v>0</v>
      </c>
      <c r="AC94" s="146"/>
      <c r="AD94" s="428"/>
      <c r="AG94" s="252"/>
      <c r="AH94" s="252"/>
      <c r="AI94" s="252"/>
      <c r="AJ94" s="252"/>
      <c r="AK94" s="428"/>
      <c r="AL94" s="146"/>
    </row>
    <row r="95" spans="2:38" x14ac:dyDescent="0.25">
      <c r="B95" s="12" t="s">
        <v>13</v>
      </c>
      <c r="C95" s="12" t="s">
        <v>14</v>
      </c>
      <c r="D95" s="3" t="s">
        <v>10</v>
      </c>
      <c r="E95" s="44">
        <f>'Kalkulace a Porovnání'!E95</f>
        <v>0</v>
      </c>
      <c r="F95" s="44">
        <f>'Kalkulace a Porovnání'!F95</f>
        <v>0</v>
      </c>
      <c r="G95" s="44">
        <f>'Kalkulace a Porovnání'!G95</f>
        <v>0</v>
      </c>
      <c r="H95" s="30">
        <f>'Kalkulace a Porovnání'!H95</f>
        <v>0</v>
      </c>
      <c r="K95" s="12" t="s">
        <v>13</v>
      </c>
      <c r="L95" s="12" t="s">
        <v>14</v>
      </c>
      <c r="M95" s="3" t="s">
        <v>10</v>
      </c>
      <c r="N95" s="44">
        <f>'Kalkulace a Porovnání'!N95</f>
        <v>0</v>
      </c>
      <c r="O95" s="44">
        <f>'Kalkulace a Porovnání'!O95</f>
        <v>0</v>
      </c>
      <c r="P95" s="44">
        <f>'Kalkulace a Porovnání'!P95</f>
        <v>0</v>
      </c>
      <c r="Q95" s="30">
        <f>'Kalkulace a Porovnání'!Q95</f>
        <v>0</v>
      </c>
      <c r="T95" s="12" t="s">
        <v>13</v>
      </c>
      <c r="U95" s="12" t="s">
        <v>14</v>
      </c>
      <c r="V95" s="3" t="s">
        <v>10</v>
      </c>
      <c r="W95" s="44">
        <f>'Kalkulace a Porovnání'!W95</f>
        <v>0</v>
      </c>
      <c r="X95" s="44">
        <f>'Kalkulace a Porovnání'!X95</f>
        <v>0</v>
      </c>
      <c r="Y95" s="44">
        <f>'Kalkulace a Porovnání'!Y95</f>
        <v>0</v>
      </c>
      <c r="Z95" s="44">
        <f>'Kalkulace a Porovnání'!Z95</f>
        <v>0</v>
      </c>
      <c r="AA95" s="44">
        <f>'Kalkulace a Porovnání'!AA95</f>
        <v>0</v>
      </c>
      <c r="AB95" s="30">
        <f>'Kalkulace a Porovnání'!AB95</f>
        <v>0</v>
      </c>
      <c r="AC95" s="146"/>
      <c r="AD95" s="428"/>
      <c r="AG95" s="252"/>
      <c r="AH95" s="252"/>
      <c r="AI95" s="252"/>
      <c r="AJ95" s="252"/>
      <c r="AK95" s="428"/>
      <c r="AL95" s="146"/>
    </row>
    <row r="96" spans="2:38" x14ac:dyDescent="0.25">
      <c r="B96" s="12" t="s">
        <v>15</v>
      </c>
      <c r="C96" s="13" t="s">
        <v>16</v>
      </c>
      <c r="D96" s="3" t="s">
        <v>10</v>
      </c>
      <c r="E96" s="44">
        <f>'Kalkulace a Porovnání'!E96</f>
        <v>0</v>
      </c>
      <c r="F96" s="44">
        <f>'Kalkulace a Porovnání'!F96</f>
        <v>6.9333326400000004E-3</v>
      </c>
      <c r="G96" s="44">
        <f>'Kalkulace a Porovnání'!G96</f>
        <v>0</v>
      </c>
      <c r="H96" s="30">
        <f>'Kalkulace a Porovnání'!H96</f>
        <v>5.1999970879999996E-2</v>
      </c>
      <c r="K96" s="12" t="s">
        <v>15</v>
      </c>
      <c r="L96" s="13" t="s">
        <v>16</v>
      </c>
      <c r="M96" s="3" t="s">
        <v>10</v>
      </c>
      <c r="N96" s="44">
        <f>'Kalkulace a Porovnání'!N96</f>
        <v>0</v>
      </c>
      <c r="O96" s="44">
        <f>'Kalkulace a Porovnání'!O96</f>
        <v>0</v>
      </c>
      <c r="P96" s="44">
        <f>'Kalkulace a Porovnání'!P96</f>
        <v>0</v>
      </c>
      <c r="Q96" s="30">
        <f>'Kalkulace a Porovnání'!Q96</f>
        <v>0</v>
      </c>
      <c r="T96" s="12" t="s">
        <v>15</v>
      </c>
      <c r="U96" s="13" t="s">
        <v>16</v>
      </c>
      <c r="V96" s="3" t="s">
        <v>10</v>
      </c>
      <c r="W96" s="44">
        <f>'Kalkulace a Porovnání'!W96</f>
        <v>0</v>
      </c>
      <c r="X96" s="44">
        <f>'Kalkulace a Porovnání'!X96</f>
        <v>6.9333326400000004E-3</v>
      </c>
      <c r="Y96" s="44">
        <f>'Kalkulace a Porovnání'!Y96</f>
        <v>-6.9333326400000004E-3</v>
      </c>
      <c r="Z96" s="44">
        <f>'Kalkulace a Porovnání'!Z96</f>
        <v>0</v>
      </c>
      <c r="AA96" s="44">
        <f>'Kalkulace a Porovnání'!AA96</f>
        <v>5.1999970879999996E-2</v>
      </c>
      <c r="AB96" s="30">
        <f>'Kalkulace a Porovnání'!AB96</f>
        <v>-5.1999970879999996E-2</v>
      </c>
      <c r="AC96" s="146"/>
      <c r="AD96" s="428"/>
      <c r="AG96" s="252"/>
      <c r="AH96" s="252"/>
      <c r="AI96" s="252"/>
      <c r="AJ96" s="252"/>
      <c r="AK96" s="428"/>
      <c r="AL96" s="146"/>
    </row>
    <row r="97" spans="2:38" x14ac:dyDescent="0.25">
      <c r="B97" s="12" t="s">
        <v>17</v>
      </c>
      <c r="C97" s="13" t="s">
        <v>18</v>
      </c>
      <c r="D97" s="3" t="s">
        <v>10</v>
      </c>
      <c r="E97" s="44">
        <f>'Kalkulace a Porovnání'!E97</f>
        <v>0</v>
      </c>
      <c r="F97" s="44">
        <f>'Kalkulace a Porovnání'!F97</f>
        <v>3.4666666663200001E-2</v>
      </c>
      <c r="G97" s="44">
        <f>'Kalkulace a Porovnání'!G97</f>
        <v>0</v>
      </c>
      <c r="H97" s="30">
        <f>'Kalkulace a Porovnání'!H97</f>
        <v>1.0400000000000001E-2</v>
      </c>
      <c r="K97" s="12" t="s">
        <v>17</v>
      </c>
      <c r="L97" s="13" t="s">
        <v>18</v>
      </c>
      <c r="M97" s="3" t="s">
        <v>10</v>
      </c>
      <c r="N97" s="44">
        <f>'Kalkulace a Porovnání'!N97</f>
        <v>0</v>
      </c>
      <c r="O97" s="44">
        <f>'Kalkulace a Porovnání'!O97</f>
        <v>0</v>
      </c>
      <c r="P97" s="44">
        <f>'Kalkulace a Porovnání'!P97</f>
        <v>0</v>
      </c>
      <c r="Q97" s="30">
        <f>'Kalkulace a Porovnání'!Q97</f>
        <v>0</v>
      </c>
      <c r="T97" s="12" t="s">
        <v>17</v>
      </c>
      <c r="U97" s="13" t="s">
        <v>18</v>
      </c>
      <c r="V97" s="3" t="s">
        <v>10</v>
      </c>
      <c r="W97" s="44">
        <f>'Kalkulace a Porovnání'!W97</f>
        <v>0</v>
      </c>
      <c r="X97" s="44">
        <f>'Kalkulace a Porovnání'!X97</f>
        <v>3.4666666663200001E-2</v>
      </c>
      <c r="Y97" s="44">
        <f>'Kalkulace a Porovnání'!Y97</f>
        <v>-3.4666666663200001E-2</v>
      </c>
      <c r="Z97" s="44">
        <f>'Kalkulace a Porovnání'!Z97</f>
        <v>0</v>
      </c>
      <c r="AA97" s="44">
        <f>'Kalkulace a Porovnání'!AA97</f>
        <v>1.0400000000000001E-2</v>
      </c>
      <c r="AB97" s="30">
        <f>'Kalkulace a Porovnání'!AB97</f>
        <v>-1.0400000000000001E-2</v>
      </c>
      <c r="AC97" s="146"/>
      <c r="AD97" s="428"/>
      <c r="AG97" s="252"/>
      <c r="AH97" s="252"/>
      <c r="AI97" s="252"/>
      <c r="AJ97" s="252"/>
      <c r="AK97" s="428"/>
      <c r="AL97" s="146"/>
    </row>
    <row r="98" spans="2:38" x14ac:dyDescent="0.25">
      <c r="B98" s="9" t="s">
        <v>19</v>
      </c>
      <c r="C98" s="10" t="s">
        <v>20</v>
      </c>
      <c r="D98" s="11" t="s">
        <v>10</v>
      </c>
      <c r="E98" s="41">
        <f>'Kalkulace a Porovnání'!E98</f>
        <v>0</v>
      </c>
      <c r="F98" s="41">
        <f>'Kalkulace a Porovnání'!F98</f>
        <v>3.8133329520000002E-2</v>
      </c>
      <c r="G98" s="41">
        <f>'Kalkulace a Porovnání'!G98</f>
        <v>0</v>
      </c>
      <c r="H98" s="86">
        <f>'Kalkulace a Porovnání'!H98</f>
        <v>0.41599999583999991</v>
      </c>
      <c r="K98" s="9" t="s">
        <v>19</v>
      </c>
      <c r="L98" s="10" t="s">
        <v>20</v>
      </c>
      <c r="M98" s="11" t="s">
        <v>10</v>
      </c>
      <c r="N98" s="41">
        <f>'Kalkulace a Porovnání'!N98</f>
        <v>0</v>
      </c>
      <c r="O98" s="41">
        <f>'Kalkulace a Porovnání'!O98</f>
        <v>0</v>
      </c>
      <c r="P98" s="41">
        <f>'Kalkulace a Porovnání'!P98</f>
        <v>0</v>
      </c>
      <c r="Q98" s="86">
        <f>'Kalkulace a Porovnání'!Q98</f>
        <v>0</v>
      </c>
      <c r="T98" s="9" t="s">
        <v>19</v>
      </c>
      <c r="U98" s="10" t="s">
        <v>20</v>
      </c>
      <c r="V98" s="11" t="s">
        <v>10</v>
      </c>
      <c r="W98" s="41">
        <f>'Kalkulace a Porovnání'!W98</f>
        <v>0</v>
      </c>
      <c r="X98" s="41">
        <f>'Kalkulace a Porovnání'!X98</f>
        <v>3.8133329520000002E-2</v>
      </c>
      <c r="Y98" s="41">
        <f>'Kalkulace a Porovnání'!Y98</f>
        <v>-3.8133329520000002E-2</v>
      </c>
      <c r="Z98" s="41">
        <f>'Kalkulace a Porovnání'!Z98</f>
        <v>0</v>
      </c>
      <c r="AA98" s="41">
        <f>'Kalkulace a Porovnání'!AA98</f>
        <v>0.41599999583999991</v>
      </c>
      <c r="AB98" s="86">
        <f>'Kalkulace a Porovnání'!AB98</f>
        <v>-0.41599999583999991</v>
      </c>
      <c r="AC98" s="146"/>
      <c r="AD98" s="428"/>
      <c r="AG98" s="252"/>
      <c r="AH98" s="252"/>
      <c r="AI98" s="252"/>
      <c r="AJ98" s="252"/>
      <c r="AK98" s="428"/>
      <c r="AL98" s="146"/>
    </row>
    <row r="99" spans="2:38" x14ac:dyDescent="0.25">
      <c r="B99" s="12" t="s">
        <v>21</v>
      </c>
      <c r="C99" s="12" t="s">
        <v>22</v>
      </c>
      <c r="D99" s="3" t="s">
        <v>10</v>
      </c>
      <c r="E99" s="44">
        <f>'Kalkulace a Porovnání'!E99</f>
        <v>0</v>
      </c>
      <c r="F99" s="44">
        <f>'Kalkulace a Porovnání'!F99</f>
        <v>3.8133329520000002E-2</v>
      </c>
      <c r="G99" s="44">
        <f>'Kalkulace a Porovnání'!G99</f>
        <v>0</v>
      </c>
      <c r="H99" s="30">
        <f>'Kalkulace a Porovnání'!H99</f>
        <v>0.41599999583999991</v>
      </c>
      <c r="K99" s="12" t="s">
        <v>21</v>
      </c>
      <c r="L99" s="12" t="s">
        <v>22</v>
      </c>
      <c r="M99" s="3" t="s">
        <v>10</v>
      </c>
      <c r="N99" s="44">
        <f>'Kalkulace a Porovnání'!N99</f>
        <v>0</v>
      </c>
      <c r="O99" s="44">
        <f>'Kalkulace a Porovnání'!O99</f>
        <v>0</v>
      </c>
      <c r="P99" s="44">
        <f>'Kalkulace a Porovnání'!P99</f>
        <v>0</v>
      </c>
      <c r="Q99" s="30">
        <f>'Kalkulace a Porovnání'!Q99</f>
        <v>0</v>
      </c>
      <c r="T99" s="12" t="s">
        <v>21</v>
      </c>
      <c r="U99" s="12" t="s">
        <v>22</v>
      </c>
      <c r="V99" s="3" t="s">
        <v>10</v>
      </c>
      <c r="W99" s="44">
        <f>'Kalkulace a Porovnání'!W99</f>
        <v>0</v>
      </c>
      <c r="X99" s="44">
        <f>'Kalkulace a Porovnání'!X99</f>
        <v>3.8133329520000002E-2</v>
      </c>
      <c r="Y99" s="44">
        <f>'Kalkulace a Porovnání'!Y99</f>
        <v>-3.8133329520000002E-2</v>
      </c>
      <c r="Z99" s="44">
        <f>'Kalkulace a Porovnání'!Z99</f>
        <v>0</v>
      </c>
      <c r="AA99" s="44">
        <f>'Kalkulace a Porovnání'!AA99</f>
        <v>0.41599999583999991</v>
      </c>
      <c r="AB99" s="30">
        <f>'Kalkulace a Porovnání'!AB99</f>
        <v>-0.41599999583999991</v>
      </c>
      <c r="AC99" s="146"/>
      <c r="AD99" s="428"/>
      <c r="AG99" s="252"/>
      <c r="AH99" s="252"/>
      <c r="AI99" s="252"/>
      <c r="AJ99" s="252"/>
      <c r="AK99" s="428"/>
      <c r="AL99" s="146"/>
    </row>
    <row r="100" spans="2:38" x14ac:dyDescent="0.25">
      <c r="B100" s="12" t="s">
        <v>23</v>
      </c>
      <c r="C100" s="12" t="s">
        <v>24</v>
      </c>
      <c r="D100" s="3" t="s">
        <v>10</v>
      </c>
      <c r="E100" s="44">
        <f>'Kalkulace a Porovnání'!E100</f>
        <v>0</v>
      </c>
      <c r="F100" s="44">
        <f>'Kalkulace a Porovnání'!F100</f>
        <v>0</v>
      </c>
      <c r="G100" s="44">
        <f>'Kalkulace a Porovnání'!G100</f>
        <v>0</v>
      </c>
      <c r="H100" s="30">
        <f>'Kalkulace a Porovnání'!H100</f>
        <v>0</v>
      </c>
      <c r="K100" s="12" t="s">
        <v>23</v>
      </c>
      <c r="L100" s="12" t="s">
        <v>24</v>
      </c>
      <c r="M100" s="3" t="s">
        <v>10</v>
      </c>
      <c r="N100" s="44">
        <f>'Kalkulace a Porovnání'!N100</f>
        <v>0</v>
      </c>
      <c r="O100" s="44">
        <f>'Kalkulace a Porovnání'!O100</f>
        <v>0</v>
      </c>
      <c r="P100" s="44">
        <f>'Kalkulace a Porovnání'!P100</f>
        <v>0</v>
      </c>
      <c r="Q100" s="30">
        <f>'Kalkulace a Porovnání'!Q100</f>
        <v>0</v>
      </c>
      <c r="T100" s="12" t="s">
        <v>23</v>
      </c>
      <c r="U100" s="12" t="s">
        <v>24</v>
      </c>
      <c r="V100" s="3" t="s">
        <v>10</v>
      </c>
      <c r="W100" s="44">
        <f>'Kalkulace a Porovnání'!W100</f>
        <v>0</v>
      </c>
      <c r="X100" s="44">
        <f>'Kalkulace a Porovnání'!X100</f>
        <v>0</v>
      </c>
      <c r="Y100" s="44">
        <f>'Kalkulace a Porovnání'!Y100</f>
        <v>0</v>
      </c>
      <c r="Z100" s="44">
        <f>'Kalkulace a Porovnání'!Z100</f>
        <v>0</v>
      </c>
      <c r="AA100" s="44">
        <f>'Kalkulace a Porovnání'!AA100</f>
        <v>0</v>
      </c>
      <c r="AB100" s="30">
        <f>'Kalkulace a Porovnání'!AB100</f>
        <v>0</v>
      </c>
      <c r="AC100" s="146"/>
      <c r="AD100" s="428"/>
      <c r="AG100" s="252"/>
      <c r="AH100" s="252"/>
      <c r="AI100" s="252"/>
      <c r="AJ100" s="252"/>
      <c r="AK100" s="428"/>
      <c r="AL100" s="146"/>
    </row>
    <row r="101" spans="2:38" x14ac:dyDescent="0.25">
      <c r="B101" s="9" t="s">
        <v>25</v>
      </c>
      <c r="C101" s="10" t="s">
        <v>400</v>
      </c>
      <c r="D101" s="11" t="s">
        <v>10</v>
      </c>
      <c r="E101" s="41">
        <f>'Kalkulace a Porovnání'!E101</f>
        <v>0</v>
      </c>
      <c r="F101" s="41">
        <f>'Kalkulace a Porovnání'!F101</f>
        <v>6.9333264000000002E-3</v>
      </c>
      <c r="G101" s="41">
        <f>'Kalkulace a Porovnání'!G101</f>
        <v>0</v>
      </c>
      <c r="H101" s="86">
        <f>'Kalkulace a Porovnání'!H101</f>
        <v>0.26</v>
      </c>
      <c r="K101" s="9" t="s">
        <v>25</v>
      </c>
      <c r="L101" s="10" t="s">
        <v>400</v>
      </c>
      <c r="M101" s="11" t="s">
        <v>10</v>
      </c>
      <c r="N101" s="41">
        <f>'Kalkulace a Porovnání'!N101</f>
        <v>0</v>
      </c>
      <c r="O101" s="41">
        <f>'Kalkulace a Porovnání'!O101</f>
        <v>0</v>
      </c>
      <c r="P101" s="41">
        <f>'Kalkulace a Porovnání'!P101</f>
        <v>0</v>
      </c>
      <c r="Q101" s="86">
        <f>'Kalkulace a Porovnání'!Q101</f>
        <v>0</v>
      </c>
      <c r="T101" s="9" t="s">
        <v>25</v>
      </c>
      <c r="U101" s="10" t="s">
        <v>400</v>
      </c>
      <c r="V101" s="11" t="s">
        <v>10</v>
      </c>
      <c r="W101" s="41">
        <f>'Kalkulace a Porovnání'!W101</f>
        <v>0</v>
      </c>
      <c r="X101" s="41">
        <f>'Kalkulace a Porovnání'!X101</f>
        <v>6.9333264000000002E-3</v>
      </c>
      <c r="Y101" s="41">
        <f>'Kalkulace a Porovnání'!Y101</f>
        <v>-6.9333264000000002E-3</v>
      </c>
      <c r="Z101" s="41">
        <f>'Kalkulace a Porovnání'!Z101</f>
        <v>0</v>
      </c>
      <c r="AA101" s="41">
        <f>'Kalkulace a Porovnání'!AA101</f>
        <v>0.26</v>
      </c>
      <c r="AB101" s="86">
        <f>'Kalkulace a Porovnání'!AB101</f>
        <v>-0.26</v>
      </c>
      <c r="AC101" s="146"/>
      <c r="AD101" s="428"/>
      <c r="AG101" s="252"/>
      <c r="AH101" s="252"/>
      <c r="AI101" s="252"/>
      <c r="AJ101" s="252"/>
      <c r="AK101" s="428"/>
      <c r="AL101" s="146"/>
    </row>
    <row r="102" spans="2:38" x14ac:dyDescent="0.25">
      <c r="B102" s="12" t="s">
        <v>26</v>
      </c>
      <c r="C102" s="13" t="s">
        <v>390</v>
      </c>
      <c r="D102" s="3" t="s">
        <v>10</v>
      </c>
      <c r="E102" s="44">
        <f>'Kalkulace a Porovnání'!E102</f>
        <v>0</v>
      </c>
      <c r="F102" s="44">
        <f>'Kalkulace a Porovnání'!F102</f>
        <v>6.9333264000000002E-3</v>
      </c>
      <c r="G102" s="44">
        <f>'Kalkulace a Porovnání'!G102</f>
        <v>0</v>
      </c>
      <c r="H102" s="30">
        <f>'Kalkulace a Porovnání'!H102</f>
        <v>0.20800000000000002</v>
      </c>
      <c r="K102" s="12" t="s">
        <v>26</v>
      </c>
      <c r="L102" s="13" t="s">
        <v>390</v>
      </c>
      <c r="M102" s="3" t="s">
        <v>10</v>
      </c>
      <c r="N102" s="44">
        <f>'Kalkulace a Porovnání'!N102</f>
        <v>0</v>
      </c>
      <c r="O102" s="44">
        <f>'Kalkulace a Porovnání'!O102</f>
        <v>0</v>
      </c>
      <c r="P102" s="44">
        <f>'Kalkulace a Porovnání'!P102</f>
        <v>0</v>
      </c>
      <c r="Q102" s="30">
        <f>'Kalkulace a Porovnání'!Q102</f>
        <v>0</v>
      </c>
      <c r="T102" s="12" t="s">
        <v>26</v>
      </c>
      <c r="U102" s="13" t="s">
        <v>390</v>
      </c>
      <c r="V102" s="3" t="s">
        <v>10</v>
      </c>
      <c r="W102" s="44">
        <f>'Kalkulace a Porovnání'!W102</f>
        <v>0</v>
      </c>
      <c r="X102" s="44">
        <f>'Kalkulace a Porovnání'!X102</f>
        <v>6.9333264000000002E-3</v>
      </c>
      <c r="Y102" s="44">
        <f>'Kalkulace a Porovnání'!Y102</f>
        <v>-6.9333264000000002E-3</v>
      </c>
      <c r="Z102" s="44">
        <f>'Kalkulace a Porovnání'!Z102</f>
        <v>0</v>
      </c>
      <c r="AA102" s="44">
        <f>'Kalkulace a Porovnání'!AA102</f>
        <v>0.20800000000000002</v>
      </c>
      <c r="AB102" s="30">
        <f>'Kalkulace a Porovnání'!AB102</f>
        <v>-0.20800000000000002</v>
      </c>
      <c r="AC102" s="146"/>
      <c r="AD102" s="428"/>
      <c r="AG102" s="252"/>
      <c r="AH102" s="252"/>
      <c r="AI102" s="252"/>
      <c r="AJ102" s="252"/>
      <c r="AK102" s="428"/>
      <c r="AL102" s="146"/>
    </row>
    <row r="103" spans="2:38" x14ac:dyDescent="0.25">
      <c r="B103" s="12" t="s">
        <v>27</v>
      </c>
      <c r="C103" s="13" t="s">
        <v>401</v>
      </c>
      <c r="D103" s="3" t="s">
        <v>10</v>
      </c>
      <c r="E103" s="44">
        <f>'Kalkulace a Porovnání'!E103</f>
        <v>0</v>
      </c>
      <c r="F103" s="44">
        <f>'Kalkulace a Porovnání'!F103</f>
        <v>0</v>
      </c>
      <c r="G103" s="44">
        <f>'Kalkulace a Porovnání'!G103</f>
        <v>0</v>
      </c>
      <c r="H103" s="30">
        <f>'Kalkulace a Porovnání'!H103</f>
        <v>5.2000000000000005E-2</v>
      </c>
      <c r="K103" s="12" t="s">
        <v>27</v>
      </c>
      <c r="L103" s="13" t="s">
        <v>401</v>
      </c>
      <c r="M103" s="3" t="s">
        <v>10</v>
      </c>
      <c r="N103" s="44">
        <f>'Kalkulace a Porovnání'!N103</f>
        <v>0</v>
      </c>
      <c r="O103" s="44">
        <f>'Kalkulace a Porovnání'!O103</f>
        <v>0</v>
      </c>
      <c r="P103" s="44">
        <f>'Kalkulace a Porovnání'!P103</f>
        <v>0</v>
      </c>
      <c r="Q103" s="30">
        <f>'Kalkulace a Porovnání'!Q103</f>
        <v>0</v>
      </c>
      <c r="T103" s="12" t="s">
        <v>27</v>
      </c>
      <c r="U103" s="13" t="s">
        <v>401</v>
      </c>
      <c r="V103" s="3" t="s">
        <v>10</v>
      </c>
      <c r="W103" s="44">
        <f>'Kalkulace a Porovnání'!W103</f>
        <v>0</v>
      </c>
      <c r="X103" s="44">
        <f>'Kalkulace a Porovnání'!X103</f>
        <v>0</v>
      </c>
      <c r="Y103" s="44">
        <f>'Kalkulace a Porovnání'!Y103</f>
        <v>0</v>
      </c>
      <c r="Z103" s="44">
        <f>'Kalkulace a Porovnání'!Z103</f>
        <v>0</v>
      </c>
      <c r="AA103" s="44">
        <f>'Kalkulace a Porovnání'!AA103</f>
        <v>5.2000000000000005E-2</v>
      </c>
      <c r="AB103" s="30">
        <f>'Kalkulace a Porovnání'!AB103</f>
        <v>-5.2000000000000005E-2</v>
      </c>
      <c r="AC103" s="146"/>
      <c r="AD103" s="428"/>
      <c r="AG103" s="252"/>
      <c r="AH103" s="252"/>
      <c r="AI103" s="252"/>
      <c r="AJ103" s="252"/>
      <c r="AK103" s="428"/>
      <c r="AL103" s="146"/>
    </row>
    <row r="104" spans="2:38" x14ac:dyDescent="0.25">
      <c r="B104" s="9" t="s">
        <v>28</v>
      </c>
      <c r="C104" s="10" t="s">
        <v>29</v>
      </c>
      <c r="D104" s="11" t="s">
        <v>10</v>
      </c>
      <c r="E104" s="41">
        <f>'Kalkulace a Porovnání'!E104</f>
        <v>0</v>
      </c>
      <c r="F104" s="41">
        <f>'Kalkulace a Porovnání'!F104</f>
        <v>0.34736</v>
      </c>
      <c r="G104" s="41">
        <f>'Kalkulace a Porovnání'!G104</f>
        <v>0</v>
      </c>
      <c r="H104" s="86">
        <f>'Kalkulace a Porovnání'!H104</f>
        <v>0.94536000000000009</v>
      </c>
      <c r="K104" s="9" t="s">
        <v>28</v>
      </c>
      <c r="L104" s="10" t="s">
        <v>29</v>
      </c>
      <c r="M104" s="11" t="s">
        <v>10</v>
      </c>
      <c r="N104" s="41">
        <f>'Kalkulace a Porovnání'!N104</f>
        <v>0</v>
      </c>
      <c r="O104" s="41">
        <f>'Kalkulace a Porovnání'!O104</f>
        <v>0</v>
      </c>
      <c r="P104" s="41">
        <f>'Kalkulace a Porovnání'!P104</f>
        <v>0</v>
      </c>
      <c r="Q104" s="86">
        <f>'Kalkulace a Porovnání'!Q104</f>
        <v>0</v>
      </c>
      <c r="T104" s="9" t="s">
        <v>28</v>
      </c>
      <c r="U104" s="10" t="s">
        <v>29</v>
      </c>
      <c r="V104" s="11" t="s">
        <v>10</v>
      </c>
      <c r="W104" s="41">
        <f>'Kalkulace a Porovnání'!W104</f>
        <v>0.32656000000000002</v>
      </c>
      <c r="X104" s="41">
        <f>'Kalkulace a Porovnání'!X104</f>
        <v>0.34736</v>
      </c>
      <c r="Y104" s="41">
        <f>'Kalkulace a Porovnání'!Y104</f>
        <v>-2.0800000000000003E-2</v>
      </c>
      <c r="Z104" s="41">
        <f>'Kalkulace a Porovnání'!Z104</f>
        <v>0.91936000000000007</v>
      </c>
      <c r="AA104" s="41">
        <f>'Kalkulace a Porovnání'!AA104</f>
        <v>0.94536000000000009</v>
      </c>
      <c r="AB104" s="86">
        <f>'Kalkulace a Porovnání'!AB104</f>
        <v>-2.6000000000000002E-2</v>
      </c>
      <c r="AC104" s="146"/>
      <c r="AD104" s="428"/>
      <c r="AG104" s="252"/>
      <c r="AH104" s="252"/>
      <c r="AI104" s="252"/>
      <c r="AJ104" s="252"/>
      <c r="AK104" s="428"/>
      <c r="AL104" s="146"/>
    </row>
    <row r="105" spans="2:38" x14ac:dyDescent="0.25">
      <c r="B105" s="12" t="s">
        <v>30</v>
      </c>
      <c r="C105" s="21" t="s">
        <v>381</v>
      </c>
      <c r="D105" s="3" t="s">
        <v>10</v>
      </c>
      <c r="E105" s="44">
        <f>'Kalkulace a Porovnání'!E105</f>
        <v>0</v>
      </c>
      <c r="F105" s="44">
        <f>'Kalkulace a Porovnání'!F105</f>
        <v>0</v>
      </c>
      <c r="G105" s="44">
        <f>'Kalkulace a Porovnání'!G105</f>
        <v>0</v>
      </c>
      <c r="H105" s="30">
        <f>'Kalkulace a Porovnání'!H105</f>
        <v>0</v>
      </c>
      <c r="K105" s="12" t="s">
        <v>30</v>
      </c>
      <c r="L105" s="21" t="s">
        <v>381</v>
      </c>
      <c r="M105" s="3" t="s">
        <v>10</v>
      </c>
      <c r="N105" s="44">
        <f>'Kalkulace a Porovnání'!N105</f>
        <v>0</v>
      </c>
      <c r="O105" s="44">
        <f>'Kalkulace a Porovnání'!O105</f>
        <v>0</v>
      </c>
      <c r="P105" s="44">
        <f>'Kalkulace a Porovnání'!P105</f>
        <v>0</v>
      </c>
      <c r="Q105" s="30">
        <f>'Kalkulace a Porovnání'!Q105</f>
        <v>0</v>
      </c>
      <c r="T105" s="12" t="s">
        <v>30</v>
      </c>
      <c r="U105" s="21" t="s">
        <v>381</v>
      </c>
      <c r="V105" s="3" t="s">
        <v>10</v>
      </c>
      <c r="W105" s="44">
        <f>'Kalkulace a Porovnání'!W105</f>
        <v>0</v>
      </c>
      <c r="X105" s="44">
        <f>'Kalkulace a Porovnání'!X105</f>
        <v>0</v>
      </c>
      <c r="Y105" s="44">
        <f>'Kalkulace a Porovnání'!Y105</f>
        <v>0</v>
      </c>
      <c r="Z105" s="44">
        <f>'Kalkulace a Porovnání'!Z105</f>
        <v>0</v>
      </c>
      <c r="AA105" s="44">
        <f>'Kalkulace a Porovnání'!AA105</f>
        <v>0</v>
      </c>
      <c r="AB105" s="30">
        <f>'Kalkulace a Porovnání'!AB105</f>
        <v>0</v>
      </c>
      <c r="AC105" s="146"/>
      <c r="AD105" s="428"/>
      <c r="AG105" s="428"/>
      <c r="AH105" s="428"/>
      <c r="AI105" s="252"/>
      <c r="AJ105" s="252"/>
      <c r="AK105" s="428"/>
      <c r="AL105" s="146"/>
    </row>
    <row r="106" spans="2:38" x14ac:dyDescent="0.25">
      <c r="B106" s="12" t="s">
        <v>32</v>
      </c>
      <c r="C106" s="13" t="s">
        <v>383</v>
      </c>
      <c r="D106" s="3" t="s">
        <v>10</v>
      </c>
      <c r="E106" s="44">
        <f>'Kalkulace a Porovnání'!E106</f>
        <v>0</v>
      </c>
      <c r="F106" s="44">
        <f>'Kalkulace a Porovnání'!F106</f>
        <v>0</v>
      </c>
      <c r="G106" s="44">
        <f>'Kalkulace a Porovnání'!G106</f>
        <v>0</v>
      </c>
      <c r="H106" s="30">
        <f>'Kalkulace a Porovnání'!H106</f>
        <v>0</v>
      </c>
      <c r="K106" s="12" t="s">
        <v>32</v>
      </c>
      <c r="L106" s="13" t="s">
        <v>383</v>
      </c>
      <c r="M106" s="3" t="s">
        <v>10</v>
      </c>
      <c r="N106" s="44">
        <f>'Kalkulace a Porovnání'!N106</f>
        <v>0</v>
      </c>
      <c r="O106" s="44">
        <f>'Kalkulace a Porovnání'!O106</f>
        <v>0</v>
      </c>
      <c r="P106" s="44">
        <f>'Kalkulace a Porovnání'!P106</f>
        <v>0</v>
      </c>
      <c r="Q106" s="30">
        <f>'Kalkulace a Porovnání'!Q106</f>
        <v>0</v>
      </c>
      <c r="T106" s="12" t="s">
        <v>32</v>
      </c>
      <c r="U106" s="13" t="s">
        <v>383</v>
      </c>
      <c r="V106" s="3" t="s">
        <v>10</v>
      </c>
      <c r="W106" s="44">
        <f>'Kalkulace a Porovnání'!W106</f>
        <v>0</v>
      </c>
      <c r="X106" s="44">
        <f>'Kalkulace a Porovnání'!X106</f>
        <v>0</v>
      </c>
      <c r="Y106" s="44">
        <f>'Kalkulace a Porovnání'!Y106</f>
        <v>0</v>
      </c>
      <c r="Z106" s="44">
        <f>'Kalkulace a Porovnání'!Z106</f>
        <v>0</v>
      </c>
      <c r="AA106" s="44">
        <f>'Kalkulace a Porovnání'!AA106</f>
        <v>0</v>
      </c>
      <c r="AB106" s="30">
        <f>'Kalkulace a Porovnání'!AB106</f>
        <v>0</v>
      </c>
      <c r="AC106" s="146"/>
      <c r="AD106" s="428"/>
      <c r="AG106" s="428"/>
      <c r="AH106" s="428"/>
      <c r="AI106" s="252"/>
      <c r="AJ106" s="252"/>
      <c r="AK106" s="428"/>
      <c r="AL106" s="146"/>
    </row>
    <row r="107" spans="2:38" x14ac:dyDescent="0.25">
      <c r="B107" s="12" t="s">
        <v>33</v>
      </c>
      <c r="C107" s="13" t="s">
        <v>382</v>
      </c>
      <c r="D107" s="3" t="s">
        <v>10</v>
      </c>
      <c r="E107" s="44">
        <f>'Kalkulace a Porovnání'!E107</f>
        <v>0</v>
      </c>
      <c r="F107" s="44">
        <f>'Kalkulace a Porovnání'!F107</f>
        <v>2.0800000000000003E-2</v>
      </c>
      <c r="G107" s="44">
        <f>'Kalkulace a Porovnání'!G107</f>
        <v>0</v>
      </c>
      <c r="H107" s="30">
        <f>'Kalkulace a Porovnání'!H107</f>
        <v>2.6000000000000002E-2</v>
      </c>
      <c r="K107" s="12" t="s">
        <v>33</v>
      </c>
      <c r="L107" s="13" t="s">
        <v>382</v>
      </c>
      <c r="M107" s="3" t="s">
        <v>10</v>
      </c>
      <c r="N107" s="44">
        <f>'Kalkulace a Porovnání'!N107</f>
        <v>0</v>
      </c>
      <c r="O107" s="44">
        <f>'Kalkulace a Porovnání'!O107</f>
        <v>0</v>
      </c>
      <c r="P107" s="44">
        <f>'Kalkulace a Porovnání'!P107</f>
        <v>0</v>
      </c>
      <c r="Q107" s="30">
        <f>'Kalkulace a Porovnání'!Q107</f>
        <v>0</v>
      </c>
      <c r="T107" s="12" t="s">
        <v>33</v>
      </c>
      <c r="U107" s="13" t="s">
        <v>382</v>
      </c>
      <c r="V107" s="3" t="s">
        <v>10</v>
      </c>
      <c r="W107" s="44">
        <f>'Kalkulace a Porovnání'!W107</f>
        <v>0</v>
      </c>
      <c r="X107" s="44">
        <f>'Kalkulace a Porovnání'!X107</f>
        <v>2.0800000000000003E-2</v>
      </c>
      <c r="Y107" s="44">
        <f>'Kalkulace a Porovnání'!Y107</f>
        <v>-2.0800000000000003E-2</v>
      </c>
      <c r="Z107" s="44">
        <f>'Kalkulace a Porovnání'!Z107</f>
        <v>0</v>
      </c>
      <c r="AA107" s="44">
        <f>'Kalkulace a Porovnání'!AA107</f>
        <v>2.6000000000000002E-2</v>
      </c>
      <c r="AB107" s="30">
        <f>'Kalkulace a Porovnání'!AB107</f>
        <v>-2.6000000000000002E-2</v>
      </c>
      <c r="AC107" s="146"/>
      <c r="AD107" s="428"/>
      <c r="AG107" s="252"/>
      <c r="AH107" s="252"/>
      <c r="AI107" s="252"/>
      <c r="AJ107" s="252"/>
      <c r="AK107" s="428"/>
      <c r="AL107" s="146"/>
    </row>
    <row r="108" spans="2:38" x14ac:dyDescent="0.25">
      <c r="B108" s="12" t="s">
        <v>34</v>
      </c>
      <c r="C108" s="21" t="s">
        <v>384</v>
      </c>
      <c r="D108" s="3" t="s">
        <v>10</v>
      </c>
      <c r="E108" s="44">
        <f>'Kalkulace a Porovnání'!E108</f>
        <v>0</v>
      </c>
      <c r="F108" s="44">
        <f>'Kalkulace a Porovnání'!F108</f>
        <v>0.32656000000000002</v>
      </c>
      <c r="G108" s="44">
        <f>'Kalkulace a Porovnání'!G108</f>
        <v>0</v>
      </c>
      <c r="H108" s="30">
        <f>'Kalkulace a Porovnání'!H108</f>
        <v>0.91936000000000007</v>
      </c>
      <c r="K108" s="12" t="s">
        <v>34</v>
      </c>
      <c r="L108" s="21" t="s">
        <v>384</v>
      </c>
      <c r="M108" s="3" t="s">
        <v>10</v>
      </c>
      <c r="N108" s="44">
        <f>'Kalkulace a Porovnání'!N108</f>
        <v>0</v>
      </c>
      <c r="O108" s="44">
        <f>'Kalkulace a Porovnání'!O108</f>
        <v>0</v>
      </c>
      <c r="P108" s="44">
        <f>'Kalkulace a Porovnání'!P108</f>
        <v>0</v>
      </c>
      <c r="Q108" s="30">
        <f>'Kalkulace a Porovnání'!Q108</f>
        <v>0</v>
      </c>
      <c r="T108" s="12" t="s">
        <v>34</v>
      </c>
      <c r="U108" s="21" t="s">
        <v>384</v>
      </c>
      <c r="V108" s="3" t="s">
        <v>10</v>
      </c>
      <c r="W108" s="44">
        <f>'Kalkulace a Porovnání'!W108</f>
        <v>0.32656000000000002</v>
      </c>
      <c r="X108" s="44">
        <f>'Kalkulace a Porovnání'!X108</f>
        <v>0.32656000000000002</v>
      </c>
      <c r="Y108" s="44">
        <f>'Kalkulace a Porovnání'!Y108</f>
        <v>0</v>
      </c>
      <c r="Z108" s="44">
        <f>'Kalkulace a Porovnání'!Z108</f>
        <v>0.91936000000000007</v>
      </c>
      <c r="AA108" s="44">
        <f>'Kalkulace a Porovnání'!AA108</f>
        <v>0.91936000000000007</v>
      </c>
      <c r="AB108" s="30">
        <f>'Kalkulace a Porovnání'!AB108</f>
        <v>0</v>
      </c>
      <c r="AC108" s="146"/>
      <c r="AD108" s="428"/>
      <c r="AG108" s="252"/>
      <c r="AH108" s="252"/>
      <c r="AI108" s="252"/>
      <c r="AJ108" s="252"/>
      <c r="AK108" s="428"/>
      <c r="AL108" s="146"/>
    </row>
    <row r="109" spans="2:38" x14ac:dyDescent="0.25">
      <c r="B109" s="9" t="s">
        <v>35</v>
      </c>
      <c r="C109" s="10" t="s">
        <v>387</v>
      </c>
      <c r="D109" s="11" t="s">
        <v>10</v>
      </c>
      <c r="E109" s="41">
        <f>'Kalkulace a Porovnání'!E109</f>
        <v>0</v>
      </c>
      <c r="F109" s="41">
        <f>'Kalkulace a Porovnání'!F109</f>
        <v>0.18373326400000001</v>
      </c>
      <c r="G109" s="41">
        <f>'Kalkulace a Porovnání'!G109</f>
        <v>0</v>
      </c>
      <c r="H109" s="86">
        <f>'Kalkulace a Porovnání'!H109</f>
        <v>0.34800000000000003</v>
      </c>
      <c r="K109" s="9" t="s">
        <v>35</v>
      </c>
      <c r="L109" s="10" t="s">
        <v>387</v>
      </c>
      <c r="M109" s="11" t="s">
        <v>10</v>
      </c>
      <c r="N109" s="41">
        <f>'Kalkulace a Porovnání'!N109</f>
        <v>0</v>
      </c>
      <c r="O109" s="41">
        <f>'Kalkulace a Porovnání'!O109</f>
        <v>0</v>
      </c>
      <c r="P109" s="41">
        <f>'Kalkulace a Porovnání'!P109</f>
        <v>0</v>
      </c>
      <c r="Q109" s="86">
        <f>'Kalkulace a Porovnání'!Q109</f>
        <v>0</v>
      </c>
      <c r="T109" s="9" t="s">
        <v>35</v>
      </c>
      <c r="U109" s="10" t="s">
        <v>387</v>
      </c>
      <c r="V109" s="11" t="s">
        <v>10</v>
      </c>
      <c r="W109" s="41">
        <f>'Kalkulace a Porovnání'!W109</f>
        <v>0</v>
      </c>
      <c r="X109" s="41">
        <f>'Kalkulace a Porovnání'!X109</f>
        <v>0.18373326400000001</v>
      </c>
      <c r="Y109" s="41">
        <f>'Kalkulace a Porovnání'!Y109</f>
        <v>-0.18373326400000001</v>
      </c>
      <c r="Z109" s="41">
        <f>'Kalkulace a Porovnání'!Z109</f>
        <v>0</v>
      </c>
      <c r="AA109" s="41">
        <f>'Kalkulace a Porovnání'!AA109</f>
        <v>0.34800000000000003</v>
      </c>
      <c r="AB109" s="86">
        <f>'Kalkulace a Porovnání'!AB109</f>
        <v>-0.34800000000000003</v>
      </c>
      <c r="AC109" s="146"/>
      <c r="AD109" s="428"/>
      <c r="AG109" s="429"/>
      <c r="AH109" s="429"/>
      <c r="AI109" s="252"/>
      <c r="AJ109" s="252"/>
      <c r="AK109" s="428"/>
      <c r="AL109" s="146"/>
    </row>
    <row r="110" spans="2:38" x14ac:dyDescent="0.25">
      <c r="B110" s="12" t="s">
        <v>37</v>
      </c>
      <c r="C110" s="13" t="s">
        <v>38</v>
      </c>
      <c r="D110" s="3" t="s">
        <v>10</v>
      </c>
      <c r="E110" s="44">
        <f>'Kalkulace a Porovnání'!E110</f>
        <v>0</v>
      </c>
      <c r="F110" s="44">
        <f>'Kalkulace a Porovnání'!F110</f>
        <v>0</v>
      </c>
      <c r="G110" s="44">
        <f>'Kalkulace a Porovnání'!G110</f>
        <v>0</v>
      </c>
      <c r="H110" s="30">
        <f>'Kalkulace a Porovnání'!H110</f>
        <v>0.01</v>
      </c>
      <c r="K110" s="12" t="s">
        <v>37</v>
      </c>
      <c r="L110" s="13" t="s">
        <v>38</v>
      </c>
      <c r="M110" s="3" t="s">
        <v>10</v>
      </c>
      <c r="N110" s="44">
        <f>'Kalkulace a Porovnání'!N110</f>
        <v>0</v>
      </c>
      <c r="O110" s="44">
        <f>'Kalkulace a Porovnání'!O110</f>
        <v>0</v>
      </c>
      <c r="P110" s="44">
        <f>'Kalkulace a Porovnání'!P110</f>
        <v>0</v>
      </c>
      <c r="Q110" s="30">
        <f>'Kalkulace a Porovnání'!Q110</f>
        <v>0</v>
      </c>
      <c r="T110" s="12" t="s">
        <v>37</v>
      </c>
      <c r="U110" s="13" t="s">
        <v>38</v>
      </c>
      <c r="V110" s="3" t="s">
        <v>10</v>
      </c>
      <c r="W110" s="44">
        <f>'Kalkulace a Porovnání'!W110</f>
        <v>0</v>
      </c>
      <c r="X110" s="44">
        <f>'Kalkulace a Porovnání'!X110</f>
        <v>0</v>
      </c>
      <c r="Y110" s="44">
        <f>'Kalkulace a Porovnání'!Y110</f>
        <v>0</v>
      </c>
      <c r="Z110" s="44">
        <f>'Kalkulace a Porovnání'!Z110</f>
        <v>0</v>
      </c>
      <c r="AA110" s="44">
        <f>'Kalkulace a Porovnání'!AA110</f>
        <v>0.01</v>
      </c>
      <c r="AB110" s="30">
        <f>'Kalkulace a Porovnání'!AB110</f>
        <v>-0.01</v>
      </c>
      <c r="AC110" s="146"/>
      <c r="AD110" s="428"/>
      <c r="AG110" s="1119"/>
      <c r="AH110" s="1119"/>
      <c r="AI110" s="252"/>
      <c r="AJ110" s="252"/>
      <c r="AK110" s="428"/>
      <c r="AL110" s="146"/>
    </row>
    <row r="111" spans="2:38" x14ac:dyDescent="0.25">
      <c r="B111" s="12" t="s">
        <v>39</v>
      </c>
      <c r="C111" s="12" t="s">
        <v>40</v>
      </c>
      <c r="D111" s="3" t="s">
        <v>10</v>
      </c>
      <c r="E111" s="44">
        <f>'Kalkulace a Porovnání'!E111</f>
        <v>0</v>
      </c>
      <c r="F111" s="44">
        <f>'Kalkulace a Porovnání'!F111</f>
        <v>5.8933263999999999E-2</v>
      </c>
      <c r="G111" s="44">
        <f>'Kalkulace a Porovnání'!G111</f>
        <v>0</v>
      </c>
      <c r="H111" s="30">
        <f>'Kalkulace a Porovnání'!H111</f>
        <v>0.23400000000000001</v>
      </c>
      <c r="K111" s="12" t="s">
        <v>39</v>
      </c>
      <c r="L111" s="12" t="s">
        <v>40</v>
      </c>
      <c r="M111" s="3" t="s">
        <v>10</v>
      </c>
      <c r="N111" s="44">
        <f>'Kalkulace a Porovnání'!N111</f>
        <v>0</v>
      </c>
      <c r="O111" s="44">
        <f>'Kalkulace a Porovnání'!O111</f>
        <v>0</v>
      </c>
      <c r="P111" s="44">
        <f>'Kalkulace a Porovnání'!P111</f>
        <v>0</v>
      </c>
      <c r="Q111" s="30">
        <f>'Kalkulace a Porovnání'!Q111</f>
        <v>0</v>
      </c>
      <c r="T111" s="12" t="s">
        <v>39</v>
      </c>
      <c r="U111" s="12" t="s">
        <v>40</v>
      </c>
      <c r="V111" s="3" t="s">
        <v>10</v>
      </c>
      <c r="W111" s="44">
        <f>'Kalkulace a Porovnání'!W111</f>
        <v>0</v>
      </c>
      <c r="X111" s="44">
        <f>'Kalkulace a Porovnání'!X111</f>
        <v>5.8933263999999999E-2</v>
      </c>
      <c r="Y111" s="44">
        <f>'Kalkulace a Porovnání'!Y111</f>
        <v>-5.8933263999999999E-2</v>
      </c>
      <c r="Z111" s="44">
        <f>'Kalkulace a Porovnání'!Z111</f>
        <v>0</v>
      </c>
      <c r="AA111" s="44">
        <f>'Kalkulace a Porovnání'!AA111</f>
        <v>0.23400000000000001</v>
      </c>
      <c r="AB111" s="30">
        <f>'Kalkulace a Porovnání'!AB111</f>
        <v>-0.23400000000000001</v>
      </c>
      <c r="AC111" s="146"/>
      <c r="AD111" s="428"/>
      <c r="AG111" s="1119"/>
      <c r="AH111" s="1119"/>
      <c r="AI111" s="252"/>
      <c r="AJ111" s="252"/>
      <c r="AK111" s="428"/>
      <c r="AL111" s="146"/>
    </row>
    <row r="112" spans="2:38" x14ac:dyDescent="0.25">
      <c r="B112" s="12" t="s">
        <v>41</v>
      </c>
      <c r="C112" s="13" t="s">
        <v>42</v>
      </c>
      <c r="D112" s="3" t="s">
        <v>10</v>
      </c>
      <c r="E112" s="44">
        <f>'Kalkulace a Porovnání'!E112</f>
        <v>0</v>
      </c>
      <c r="F112" s="44">
        <f>'Kalkulace a Porovnání'!F112</f>
        <v>0.12479999999999999</v>
      </c>
      <c r="G112" s="44">
        <f>'Kalkulace a Porovnání'!G112</f>
        <v>0</v>
      </c>
      <c r="H112" s="30">
        <f>'Kalkulace a Porovnání'!H112</f>
        <v>0.10400000000000001</v>
      </c>
      <c r="K112" s="12" t="s">
        <v>41</v>
      </c>
      <c r="L112" s="13" t="s">
        <v>42</v>
      </c>
      <c r="M112" s="3" t="s">
        <v>10</v>
      </c>
      <c r="N112" s="44">
        <f>'Kalkulace a Porovnání'!N112</f>
        <v>0</v>
      </c>
      <c r="O112" s="44">
        <f>'Kalkulace a Porovnání'!O112</f>
        <v>0</v>
      </c>
      <c r="P112" s="44">
        <f>'Kalkulace a Porovnání'!P112</f>
        <v>0</v>
      </c>
      <c r="Q112" s="30">
        <f>'Kalkulace a Porovnání'!Q112</f>
        <v>0</v>
      </c>
      <c r="T112" s="12" t="s">
        <v>41</v>
      </c>
      <c r="U112" s="13" t="s">
        <v>42</v>
      </c>
      <c r="V112" s="3" t="s">
        <v>10</v>
      </c>
      <c r="W112" s="44">
        <f>'Kalkulace a Porovnání'!W112</f>
        <v>0</v>
      </c>
      <c r="X112" s="44">
        <f>'Kalkulace a Porovnání'!X112</f>
        <v>0.12479999999999999</v>
      </c>
      <c r="Y112" s="44">
        <f>'Kalkulace a Porovnání'!Y112</f>
        <v>-0.12479999999999999</v>
      </c>
      <c r="Z112" s="44">
        <f>'Kalkulace a Porovnání'!Z112</f>
        <v>0</v>
      </c>
      <c r="AA112" s="44">
        <f>'Kalkulace a Porovnání'!AA112</f>
        <v>0.10400000000000001</v>
      </c>
      <c r="AB112" s="30">
        <f>'Kalkulace a Porovnání'!AB112</f>
        <v>-0.10400000000000001</v>
      </c>
      <c r="AC112" s="146"/>
      <c r="AD112" s="428"/>
      <c r="AG112" s="426"/>
      <c r="AH112" s="426"/>
      <c r="AI112" s="252"/>
      <c r="AJ112" s="252"/>
      <c r="AK112" s="428"/>
      <c r="AL112" s="146"/>
    </row>
    <row r="113" spans="2:38" x14ac:dyDescent="0.25">
      <c r="B113" s="9" t="s">
        <v>43</v>
      </c>
      <c r="C113" s="10" t="s">
        <v>44</v>
      </c>
      <c r="D113" s="11" t="s">
        <v>10</v>
      </c>
      <c r="E113" s="44">
        <f>'Kalkulace a Porovnání'!E113</f>
        <v>0</v>
      </c>
      <c r="F113" s="44">
        <f>'Kalkulace a Porovnání'!F113</f>
        <v>0</v>
      </c>
      <c r="G113" s="44">
        <f>'Kalkulace a Porovnání'!G113</f>
        <v>0</v>
      </c>
      <c r="H113" s="30">
        <f>'Kalkulace a Porovnání'!H113</f>
        <v>0</v>
      </c>
      <c r="K113" s="9" t="s">
        <v>43</v>
      </c>
      <c r="L113" s="10" t="s">
        <v>44</v>
      </c>
      <c r="M113" s="11" t="s">
        <v>10</v>
      </c>
      <c r="N113" s="44">
        <f>'Kalkulace a Porovnání'!N113</f>
        <v>0</v>
      </c>
      <c r="O113" s="44">
        <f>'Kalkulace a Porovnání'!O113</f>
        <v>0</v>
      </c>
      <c r="P113" s="44">
        <f>'Kalkulace a Porovnání'!P113</f>
        <v>0</v>
      </c>
      <c r="Q113" s="30">
        <f>'Kalkulace a Porovnání'!Q113</f>
        <v>0</v>
      </c>
      <c r="T113" s="9" t="s">
        <v>43</v>
      </c>
      <c r="U113" s="10" t="s">
        <v>44</v>
      </c>
      <c r="V113" s="11" t="s">
        <v>10</v>
      </c>
      <c r="W113" s="44">
        <f>'Kalkulace a Porovnání'!W113</f>
        <v>0</v>
      </c>
      <c r="X113" s="44">
        <f>'Kalkulace a Porovnání'!X113</f>
        <v>0</v>
      </c>
      <c r="Y113" s="44">
        <f>'Kalkulace a Porovnání'!Y113</f>
        <v>0</v>
      </c>
      <c r="Z113" s="44">
        <f>'Kalkulace a Porovnání'!Z113</f>
        <v>0</v>
      </c>
      <c r="AA113" s="44">
        <f>'Kalkulace a Porovnání'!AA113</f>
        <v>0</v>
      </c>
      <c r="AB113" s="30">
        <f>'Kalkulace a Porovnání'!AB113</f>
        <v>0</v>
      </c>
      <c r="AC113" s="146"/>
      <c r="AD113" s="428"/>
      <c r="AG113" s="147"/>
      <c r="AH113" s="147"/>
      <c r="AI113" s="252"/>
      <c r="AJ113" s="252"/>
      <c r="AK113" s="428"/>
      <c r="AL113" s="146"/>
    </row>
    <row r="114" spans="2:38" x14ac:dyDescent="0.25">
      <c r="B114" s="9" t="s">
        <v>45</v>
      </c>
      <c r="C114" s="10" t="s">
        <v>388</v>
      </c>
      <c r="D114" s="11" t="s">
        <v>10</v>
      </c>
      <c r="E114" s="44">
        <f>'Kalkulace a Porovnání'!E114</f>
        <v>0</v>
      </c>
      <c r="F114" s="44">
        <f>'Kalkulace a Porovnání'!F114</f>
        <v>0</v>
      </c>
      <c r="G114" s="44">
        <f>'Kalkulace a Porovnání'!G114</f>
        <v>0</v>
      </c>
      <c r="H114" s="30">
        <f>'Kalkulace a Porovnání'!H114</f>
        <v>0</v>
      </c>
      <c r="K114" s="9" t="s">
        <v>45</v>
      </c>
      <c r="L114" s="10" t="s">
        <v>388</v>
      </c>
      <c r="M114" s="11" t="s">
        <v>10</v>
      </c>
      <c r="N114" s="44">
        <f>'Kalkulace a Porovnání'!N114</f>
        <v>0</v>
      </c>
      <c r="O114" s="44">
        <f>'Kalkulace a Porovnání'!O114</f>
        <v>0</v>
      </c>
      <c r="P114" s="44">
        <f>'Kalkulace a Porovnání'!P114</f>
        <v>0</v>
      </c>
      <c r="Q114" s="30">
        <f>'Kalkulace a Porovnání'!Q114</f>
        <v>0</v>
      </c>
      <c r="T114" s="9" t="s">
        <v>45</v>
      </c>
      <c r="U114" s="10" t="s">
        <v>388</v>
      </c>
      <c r="V114" s="11" t="s">
        <v>10</v>
      </c>
      <c r="W114" s="44">
        <f>'Kalkulace a Porovnání'!W114</f>
        <v>0</v>
      </c>
      <c r="X114" s="44">
        <f>'Kalkulace a Porovnání'!X114</f>
        <v>0</v>
      </c>
      <c r="Y114" s="44">
        <f>'Kalkulace a Porovnání'!Y114</f>
        <v>0</v>
      </c>
      <c r="Z114" s="44">
        <f>'Kalkulace a Porovnání'!Z114</f>
        <v>0</v>
      </c>
      <c r="AA114" s="44">
        <f>'Kalkulace a Porovnání'!AA114</f>
        <v>0</v>
      </c>
      <c r="AB114" s="30">
        <f>'Kalkulace a Porovnání'!AB114</f>
        <v>0</v>
      </c>
      <c r="AC114" s="146"/>
      <c r="AD114" s="428"/>
      <c r="AG114" s="147"/>
      <c r="AH114" s="147"/>
      <c r="AI114" s="252"/>
      <c r="AJ114" s="252"/>
      <c r="AK114" s="428"/>
      <c r="AL114" s="146"/>
    </row>
    <row r="115" spans="2:38" x14ac:dyDescent="0.25">
      <c r="B115" s="9" t="s">
        <v>46</v>
      </c>
      <c r="C115" s="10" t="s">
        <v>47</v>
      </c>
      <c r="D115" s="11" t="s">
        <v>10</v>
      </c>
      <c r="E115" s="44">
        <f>'Kalkulace a Porovnání'!E115</f>
        <v>0</v>
      </c>
      <c r="F115" s="44">
        <f>'Kalkulace a Porovnání'!F115</f>
        <v>6.9680000000000006E-2</v>
      </c>
      <c r="G115" s="44">
        <f>'Kalkulace a Porovnání'!G115</f>
        <v>0</v>
      </c>
      <c r="H115" s="30">
        <f>'Kalkulace a Porovnání'!H115</f>
        <v>6.2399999999999997E-2</v>
      </c>
      <c r="K115" s="9" t="s">
        <v>46</v>
      </c>
      <c r="L115" s="10" t="s">
        <v>47</v>
      </c>
      <c r="M115" s="11" t="s">
        <v>10</v>
      </c>
      <c r="N115" s="44">
        <f>'Kalkulace a Porovnání'!N115</f>
        <v>0</v>
      </c>
      <c r="O115" s="44">
        <f>'Kalkulace a Porovnání'!O115</f>
        <v>0</v>
      </c>
      <c r="P115" s="44">
        <f>'Kalkulace a Porovnání'!P115</f>
        <v>0</v>
      </c>
      <c r="Q115" s="30">
        <f>'Kalkulace a Porovnání'!Q115</f>
        <v>0</v>
      </c>
      <c r="T115" s="9" t="s">
        <v>46</v>
      </c>
      <c r="U115" s="10" t="s">
        <v>47</v>
      </c>
      <c r="V115" s="11" t="s">
        <v>10</v>
      </c>
      <c r="W115" s="44">
        <f>'Kalkulace a Porovnání'!W115</f>
        <v>0</v>
      </c>
      <c r="X115" s="44">
        <f>'Kalkulace a Porovnání'!X115</f>
        <v>6.9680000000000006E-2</v>
      </c>
      <c r="Y115" s="44">
        <f>'Kalkulace a Porovnání'!Y115</f>
        <v>-6.9680000000000006E-2</v>
      </c>
      <c r="Z115" s="44">
        <f>'Kalkulace a Porovnání'!Z115</f>
        <v>0</v>
      </c>
      <c r="AA115" s="44">
        <f>'Kalkulace a Porovnání'!AA115</f>
        <v>6.2399999999999997E-2</v>
      </c>
      <c r="AB115" s="30">
        <f>'Kalkulace a Porovnání'!AB115</f>
        <v>-6.2399999999999997E-2</v>
      </c>
      <c r="AC115" s="146"/>
      <c r="AD115" s="428"/>
      <c r="AG115" s="147"/>
      <c r="AH115" s="147"/>
      <c r="AI115" s="252"/>
      <c r="AJ115" s="252"/>
      <c r="AK115" s="428"/>
      <c r="AL115" s="146"/>
    </row>
    <row r="116" spans="2:38" x14ac:dyDescent="0.25">
      <c r="B116" s="9" t="s">
        <v>48</v>
      </c>
      <c r="C116" s="10" t="s">
        <v>49</v>
      </c>
      <c r="D116" s="11" t="s">
        <v>10</v>
      </c>
      <c r="E116" s="44">
        <f>'Kalkulace a Porovnání'!E116</f>
        <v>0</v>
      </c>
      <c r="F116" s="44">
        <f>'Kalkulace a Porovnání'!F116</f>
        <v>5.6160000000000002E-2</v>
      </c>
      <c r="G116" s="44">
        <f>'Kalkulace a Porovnání'!G116</f>
        <v>0</v>
      </c>
      <c r="H116" s="30">
        <f>'Kalkulace a Porovnání'!H116</f>
        <v>5.2000000000000005E-2</v>
      </c>
      <c r="K116" s="9" t="s">
        <v>48</v>
      </c>
      <c r="L116" s="10" t="s">
        <v>49</v>
      </c>
      <c r="M116" s="11" t="s">
        <v>10</v>
      </c>
      <c r="N116" s="44">
        <f>'Kalkulace a Porovnání'!N116</f>
        <v>0</v>
      </c>
      <c r="O116" s="44">
        <f>'Kalkulace a Porovnání'!O116</f>
        <v>0</v>
      </c>
      <c r="P116" s="44">
        <f>'Kalkulace a Porovnání'!P116</f>
        <v>0</v>
      </c>
      <c r="Q116" s="30">
        <f>'Kalkulace a Porovnání'!Q116</f>
        <v>0</v>
      </c>
      <c r="T116" s="9" t="s">
        <v>48</v>
      </c>
      <c r="U116" s="10" t="s">
        <v>49</v>
      </c>
      <c r="V116" s="11" t="s">
        <v>10</v>
      </c>
      <c r="W116" s="44">
        <f>'Kalkulace a Porovnání'!W116</f>
        <v>0</v>
      </c>
      <c r="X116" s="44">
        <f>'Kalkulace a Porovnání'!X116</f>
        <v>5.6160000000000002E-2</v>
      </c>
      <c r="Y116" s="44">
        <f>'Kalkulace a Porovnání'!Y116</f>
        <v>-5.6160000000000002E-2</v>
      </c>
      <c r="Z116" s="44">
        <f>'Kalkulace a Porovnání'!Z116</f>
        <v>0</v>
      </c>
      <c r="AA116" s="44">
        <f>'Kalkulace a Porovnání'!AA116</f>
        <v>5.2000000000000005E-2</v>
      </c>
      <c r="AB116" s="30">
        <f>'Kalkulace a Porovnání'!AB116</f>
        <v>-5.2000000000000005E-2</v>
      </c>
      <c r="AC116" s="146"/>
      <c r="AD116" s="428"/>
      <c r="AG116" s="147"/>
      <c r="AH116" s="147"/>
      <c r="AI116" s="252"/>
      <c r="AJ116" s="252"/>
      <c r="AK116" s="428"/>
      <c r="AL116" s="146"/>
    </row>
    <row r="117" spans="2:38" x14ac:dyDescent="0.25">
      <c r="B117" s="12" t="s">
        <v>386</v>
      </c>
      <c r="C117" s="13" t="s">
        <v>385</v>
      </c>
      <c r="D117" s="3" t="s">
        <v>10</v>
      </c>
      <c r="E117" s="44">
        <f>'Kalkulace a Porovnání'!E117</f>
        <v>0</v>
      </c>
      <c r="F117" s="44">
        <f>'Kalkulace a Porovnání'!F117</f>
        <v>0.02</v>
      </c>
      <c r="G117" s="44">
        <f>'Kalkulace a Porovnání'!G117</f>
        <v>0</v>
      </c>
      <c r="H117" s="30">
        <f>'Kalkulace a Porovnání'!H117</f>
        <v>0.02</v>
      </c>
      <c r="K117" s="12" t="s">
        <v>386</v>
      </c>
      <c r="L117" s="13" t="s">
        <v>385</v>
      </c>
      <c r="M117" s="3" t="s">
        <v>10</v>
      </c>
      <c r="N117" s="44">
        <f>'Kalkulace a Porovnání'!N117</f>
        <v>0</v>
      </c>
      <c r="O117" s="44">
        <f>'Kalkulace a Porovnání'!O117</f>
        <v>0</v>
      </c>
      <c r="P117" s="44">
        <f>'Kalkulace a Porovnání'!P117</f>
        <v>0</v>
      </c>
      <c r="Q117" s="30">
        <f>'Kalkulace a Porovnání'!Q117</f>
        <v>0</v>
      </c>
      <c r="T117" s="12" t="s">
        <v>386</v>
      </c>
      <c r="U117" s="13" t="s">
        <v>385</v>
      </c>
      <c r="V117" s="3" t="s">
        <v>10</v>
      </c>
      <c r="W117" s="44">
        <f>'Kalkulace a Porovnání'!W117</f>
        <v>0</v>
      </c>
      <c r="X117" s="44">
        <f>'Kalkulace a Porovnání'!X117</f>
        <v>0</v>
      </c>
      <c r="Y117" s="44">
        <f>'Kalkulace a Porovnání'!Y117</f>
        <v>0</v>
      </c>
      <c r="Z117" s="44">
        <f>'Kalkulace a Porovnání'!Z117</f>
        <v>0</v>
      </c>
      <c r="AA117" s="44">
        <f>'Kalkulace a Porovnání'!AA117</f>
        <v>0</v>
      </c>
      <c r="AB117" s="30">
        <f>'Kalkulace a Porovnání'!AB117</f>
        <v>0</v>
      </c>
      <c r="AC117" s="146"/>
      <c r="AD117" s="428"/>
      <c r="AG117" s="147"/>
      <c r="AH117" s="147"/>
      <c r="AI117" s="252"/>
      <c r="AJ117" s="252"/>
      <c r="AK117" s="428"/>
      <c r="AL117" s="146"/>
    </row>
    <row r="118" spans="2:38" x14ac:dyDescent="0.25">
      <c r="B118" s="9" t="s">
        <v>50</v>
      </c>
      <c r="C118" s="10" t="s">
        <v>391</v>
      </c>
      <c r="D118" s="11" t="s">
        <v>10</v>
      </c>
      <c r="E118" s="41">
        <f>'Kalkulace a Porovnání'!E118</f>
        <v>0</v>
      </c>
      <c r="F118" s="41">
        <f>'Kalkulace a Porovnání'!F118</f>
        <v>0.82359991922319997</v>
      </c>
      <c r="G118" s="41">
        <f>'Kalkulace a Porovnání'!G118</f>
        <v>0</v>
      </c>
      <c r="H118" s="86">
        <f>'Kalkulace a Porovnání'!H118</f>
        <v>2.1461599667199995</v>
      </c>
      <c r="K118" s="9" t="s">
        <v>50</v>
      </c>
      <c r="L118" s="10" t="s">
        <v>391</v>
      </c>
      <c r="M118" s="11" t="s">
        <v>10</v>
      </c>
      <c r="N118" s="41">
        <f>'Kalkulace a Porovnání'!N118</f>
        <v>0</v>
      </c>
      <c r="O118" s="41">
        <f>'Kalkulace a Porovnání'!O118</f>
        <v>0</v>
      </c>
      <c r="P118" s="41">
        <f>'Kalkulace a Porovnání'!P118</f>
        <v>0</v>
      </c>
      <c r="Q118" s="86">
        <f>'Kalkulace a Porovnání'!Q118</f>
        <v>0</v>
      </c>
      <c r="T118" s="9" t="s">
        <v>50</v>
      </c>
      <c r="U118" s="10" t="s">
        <v>391</v>
      </c>
      <c r="V118" s="11" t="s">
        <v>10</v>
      </c>
      <c r="W118" s="41">
        <f>'Kalkulace a Porovnání'!W118</f>
        <v>0.32656000000000002</v>
      </c>
      <c r="X118" s="41">
        <f>'Kalkulace a Porovnání'!X118</f>
        <v>0.82359991922319997</v>
      </c>
      <c r="Y118" s="41">
        <f>'Kalkulace a Porovnání'!Y118</f>
        <v>-0.49703991922320007</v>
      </c>
      <c r="Z118" s="41">
        <f>'Kalkulace a Porovnání'!Z118</f>
        <v>0.91936000000000007</v>
      </c>
      <c r="AA118" s="41">
        <f>'Kalkulace a Porovnání'!AA118</f>
        <v>2.1461599667199995</v>
      </c>
      <c r="AB118" s="86">
        <f>'Kalkulace a Porovnání'!AB118</f>
        <v>-1.22679996672</v>
      </c>
      <c r="AC118" s="146"/>
      <c r="AD118" s="428"/>
      <c r="AG118" s="147"/>
      <c r="AH118" s="147"/>
      <c r="AI118" s="252"/>
      <c r="AJ118" s="252"/>
      <c r="AK118" s="428"/>
      <c r="AL118" s="146"/>
    </row>
    <row r="119" spans="2:38" x14ac:dyDescent="0.25">
      <c r="B119" s="12" t="s">
        <v>389</v>
      </c>
      <c r="C119" s="13" t="s">
        <v>96</v>
      </c>
      <c r="D119" s="3" t="s">
        <v>10</v>
      </c>
      <c r="E119" s="329">
        <f>'Kalkulace a Porovnání'!E119</f>
        <v>0</v>
      </c>
      <c r="F119" s="329">
        <f>'Kalkulace a Porovnání'!F119</f>
        <v>0</v>
      </c>
      <c r="G119" s="329">
        <f>'Kalkulace a Porovnání'!G119</f>
        <v>0</v>
      </c>
      <c r="H119" s="330">
        <f>'Kalkulace a Porovnání'!H119</f>
        <v>0</v>
      </c>
      <c r="K119" s="12" t="s">
        <v>389</v>
      </c>
      <c r="L119" s="13" t="s">
        <v>96</v>
      </c>
      <c r="M119" s="3" t="s">
        <v>10</v>
      </c>
      <c r="N119" s="329">
        <f>'Kalkulace a Porovnání'!N119</f>
        <v>0</v>
      </c>
      <c r="O119" s="329">
        <f>'Kalkulace a Porovnání'!O119</f>
        <v>0</v>
      </c>
      <c r="P119" s="329">
        <f>'Kalkulace a Porovnání'!P119</f>
        <v>0</v>
      </c>
      <c r="Q119" s="330">
        <f>'Kalkulace a Porovnání'!Q119</f>
        <v>0</v>
      </c>
      <c r="T119" s="12" t="s">
        <v>389</v>
      </c>
      <c r="U119" s="13" t="s">
        <v>96</v>
      </c>
      <c r="V119" s="3" t="s">
        <v>10</v>
      </c>
      <c r="W119" s="329">
        <f>'Kalkulace a Porovnání'!W119</f>
        <v>0</v>
      </c>
      <c r="X119" s="329">
        <f>'Kalkulace a Porovnání'!X119</f>
        <v>0</v>
      </c>
      <c r="Y119" s="329">
        <f>'Kalkulace a Porovnání'!Y119</f>
        <v>0</v>
      </c>
      <c r="Z119" s="329">
        <f>'Kalkulace a Porovnání'!Z119</f>
        <v>0</v>
      </c>
      <c r="AA119" s="329">
        <f>'Kalkulace a Porovnání'!AA119</f>
        <v>0</v>
      </c>
      <c r="AB119" s="330">
        <f>'Kalkulace a Porovnání'!AB119</f>
        <v>0</v>
      </c>
      <c r="AC119" s="146"/>
      <c r="AD119" s="428"/>
      <c r="AG119" s="1120"/>
      <c r="AH119" s="1120"/>
      <c r="AI119" s="252"/>
      <c r="AJ119" s="252"/>
      <c r="AK119" s="428"/>
      <c r="AL119" s="146"/>
    </row>
    <row r="120" spans="2:38" x14ac:dyDescent="0.25">
      <c r="B120" s="12" t="s">
        <v>389</v>
      </c>
      <c r="C120" s="13" t="s">
        <v>97</v>
      </c>
      <c r="D120" s="3" t="s">
        <v>10</v>
      </c>
      <c r="E120" s="329">
        <f>'Kalkulace a Porovnání'!E120</f>
        <v>0</v>
      </c>
      <c r="F120" s="329">
        <f>'Kalkulace a Porovnání'!F120</f>
        <v>0</v>
      </c>
      <c r="G120" s="329">
        <f>'Kalkulace a Porovnání'!G120</f>
        <v>0</v>
      </c>
      <c r="H120" s="330">
        <f>'Kalkulace a Porovnání'!H120</f>
        <v>0</v>
      </c>
      <c r="K120" s="12" t="s">
        <v>389</v>
      </c>
      <c r="L120" s="13" t="s">
        <v>97</v>
      </c>
      <c r="M120" s="3" t="s">
        <v>10</v>
      </c>
      <c r="N120" s="329">
        <f>'Kalkulace a Porovnání'!N120</f>
        <v>0</v>
      </c>
      <c r="O120" s="329">
        <f>'Kalkulace a Porovnání'!O120</f>
        <v>0</v>
      </c>
      <c r="P120" s="329">
        <f>'Kalkulace a Porovnání'!P120</f>
        <v>0</v>
      </c>
      <c r="Q120" s="330">
        <f>'Kalkulace a Porovnání'!Q120</f>
        <v>0</v>
      </c>
      <c r="T120" s="12" t="s">
        <v>389</v>
      </c>
      <c r="U120" s="13" t="s">
        <v>97</v>
      </c>
      <c r="V120" s="3" t="s">
        <v>10</v>
      </c>
      <c r="W120" s="329">
        <f>'Kalkulace a Porovnání'!W120</f>
        <v>0</v>
      </c>
      <c r="X120" s="329">
        <f>'Kalkulace a Porovnání'!X120</f>
        <v>0</v>
      </c>
      <c r="Y120" s="329">
        <f>'Kalkulace a Porovnání'!Y120</f>
        <v>0</v>
      </c>
      <c r="Z120" s="329">
        <f>'Kalkulace a Porovnání'!Z120</f>
        <v>0</v>
      </c>
      <c r="AA120" s="329">
        <f>'Kalkulace a Porovnání'!AA120</f>
        <v>0</v>
      </c>
      <c r="AB120" s="330">
        <f>'Kalkulace a Porovnání'!AB120</f>
        <v>0</v>
      </c>
      <c r="AC120" s="146"/>
      <c r="AD120" s="428"/>
      <c r="AG120" s="1120"/>
      <c r="AH120" s="1120"/>
      <c r="AI120" s="252"/>
      <c r="AJ120" s="252"/>
      <c r="AK120" s="428"/>
      <c r="AL120" s="146"/>
    </row>
    <row r="121" spans="2:38" x14ac:dyDescent="0.25">
      <c r="B121" s="12" t="s">
        <v>51</v>
      </c>
      <c r="C121" s="13" t="s">
        <v>54</v>
      </c>
      <c r="D121" s="3" t="s">
        <v>55</v>
      </c>
      <c r="E121" s="331">
        <f>'Kalkulace a Porovnání'!E121</f>
        <v>0</v>
      </c>
      <c r="F121" s="331">
        <f>'Kalkulace a Porovnání'!F121</f>
        <v>0</v>
      </c>
      <c r="G121" s="331">
        <f>'Kalkulace a Porovnání'!G121</f>
        <v>0</v>
      </c>
      <c r="H121" s="332">
        <f>'Kalkulace a Porovnání'!H121</f>
        <v>0</v>
      </c>
      <c r="K121" s="12" t="s">
        <v>51</v>
      </c>
      <c r="L121" s="13" t="s">
        <v>54</v>
      </c>
      <c r="M121" s="3" t="s">
        <v>55</v>
      </c>
      <c r="N121" s="331">
        <f>'Kalkulace a Porovnání'!N121</f>
        <v>0</v>
      </c>
      <c r="O121" s="331">
        <f>'Kalkulace a Porovnání'!O121</f>
        <v>0</v>
      </c>
      <c r="P121" s="331">
        <f>'Kalkulace a Porovnání'!P121</f>
        <v>0</v>
      </c>
      <c r="Q121" s="332">
        <f>'Kalkulace a Porovnání'!Q121</f>
        <v>0</v>
      </c>
      <c r="T121" s="12" t="s">
        <v>51</v>
      </c>
      <c r="U121" s="13" t="s">
        <v>54</v>
      </c>
      <c r="V121" s="3" t="s">
        <v>55</v>
      </c>
      <c r="W121" s="331">
        <f>'Kalkulace a Porovnání'!W121</f>
        <v>0</v>
      </c>
      <c r="X121" s="331">
        <f>'Kalkulace a Porovnání'!X121</f>
        <v>0</v>
      </c>
      <c r="Y121" s="331">
        <f>'Kalkulace a Porovnání'!Y121</f>
        <v>0</v>
      </c>
      <c r="Z121" s="331">
        <f>'Kalkulace a Porovnání'!Z121</f>
        <v>0</v>
      </c>
      <c r="AA121" s="331">
        <f>'Kalkulace a Porovnání'!AA121</f>
        <v>0</v>
      </c>
      <c r="AB121" s="332">
        <f>'Kalkulace a Porovnání'!AB121</f>
        <v>0</v>
      </c>
      <c r="AC121" s="146"/>
      <c r="AD121" s="428"/>
      <c r="AG121" s="1119"/>
      <c r="AH121" s="1119"/>
      <c r="AI121" s="252"/>
      <c r="AJ121" s="252"/>
      <c r="AK121" s="428"/>
      <c r="AL121" s="146"/>
    </row>
    <row r="122" spans="2:38" x14ac:dyDescent="0.25">
      <c r="B122" s="12" t="s">
        <v>52</v>
      </c>
      <c r="C122" s="13" t="s">
        <v>57</v>
      </c>
      <c r="D122" s="3" t="s">
        <v>58</v>
      </c>
      <c r="E122" s="44">
        <f>'Kalkulace a Porovnání'!E122</f>
        <v>0</v>
      </c>
      <c r="F122" s="44">
        <f>'Kalkulace a Porovnání'!F122</f>
        <v>3.3333330000000001E-2</v>
      </c>
      <c r="G122" s="44">
        <f>'Kalkulace a Porovnání'!G122</f>
        <v>0</v>
      </c>
      <c r="H122" s="30">
        <f>'Kalkulace a Porovnání'!H122</f>
        <v>0</v>
      </c>
      <c r="K122" s="12" t="s">
        <v>52</v>
      </c>
      <c r="L122" s="13" t="s">
        <v>57</v>
      </c>
      <c r="M122" s="3" t="s">
        <v>58</v>
      </c>
      <c r="N122" s="44">
        <f>'Kalkulace a Porovnání'!N122</f>
        <v>0</v>
      </c>
      <c r="O122" s="44">
        <f>'Kalkulace a Porovnání'!O122</f>
        <v>0</v>
      </c>
      <c r="P122" s="44">
        <f>'Kalkulace a Porovnání'!P122</f>
        <v>0</v>
      </c>
      <c r="Q122" s="30">
        <f>'Kalkulace a Porovnání'!Q122</f>
        <v>0</v>
      </c>
      <c r="T122" s="12" t="s">
        <v>52</v>
      </c>
      <c r="U122" s="13" t="s">
        <v>57</v>
      </c>
      <c r="V122" s="3" t="s">
        <v>58</v>
      </c>
      <c r="W122" s="44">
        <f>'Kalkulace a Porovnání'!W122</f>
        <v>0</v>
      </c>
      <c r="X122" s="44">
        <f>'Kalkulace a Porovnání'!X122</f>
        <v>3.3333330000000001E-2</v>
      </c>
      <c r="Y122" s="44">
        <f>'Kalkulace a Porovnání'!Y122</f>
        <v>-3.3333330000000001E-2</v>
      </c>
      <c r="Z122" s="44">
        <f>'Kalkulace a Porovnání'!Z122</f>
        <v>0</v>
      </c>
      <c r="AA122" s="44">
        <f>'Kalkulace a Porovnání'!AA122</f>
        <v>0</v>
      </c>
      <c r="AB122" s="30">
        <f>'Kalkulace a Porovnání'!AB122</f>
        <v>0</v>
      </c>
      <c r="AC122" s="146"/>
      <c r="AD122" s="428"/>
      <c r="AG122" s="1119"/>
      <c r="AH122" s="1119"/>
      <c r="AI122" s="252"/>
      <c r="AJ122" s="252"/>
      <c r="AK122" s="428"/>
      <c r="AL122" s="146"/>
    </row>
    <row r="123" spans="2:38" x14ac:dyDescent="0.25">
      <c r="B123" s="12" t="s">
        <v>53</v>
      </c>
      <c r="C123" s="13" t="s">
        <v>60</v>
      </c>
      <c r="D123" s="3" t="s">
        <v>58</v>
      </c>
      <c r="E123" s="44">
        <f>'Kalkulace a Porovnání'!E123</f>
        <v>0</v>
      </c>
      <c r="F123" s="44">
        <f>'Kalkulace a Porovnání'!F123</f>
        <v>2.9333330000000001E-2</v>
      </c>
      <c r="G123" s="44">
        <f>'Kalkulace a Porovnání'!G123</f>
        <v>0</v>
      </c>
      <c r="H123" s="30">
        <f>'Kalkulace a Porovnání'!H123</f>
        <v>0</v>
      </c>
      <c r="K123" s="12" t="s">
        <v>53</v>
      </c>
      <c r="L123" s="13" t="s">
        <v>60</v>
      </c>
      <c r="M123" s="3" t="s">
        <v>58</v>
      </c>
      <c r="N123" s="44">
        <f>'Kalkulace a Porovnání'!N123</f>
        <v>0</v>
      </c>
      <c r="O123" s="44">
        <f>'Kalkulace a Porovnání'!O123</f>
        <v>0</v>
      </c>
      <c r="P123" s="44">
        <f>'Kalkulace a Porovnání'!P123</f>
        <v>0</v>
      </c>
      <c r="Q123" s="30">
        <f>'Kalkulace a Porovnání'!Q123</f>
        <v>0</v>
      </c>
      <c r="T123" s="12" t="s">
        <v>53</v>
      </c>
      <c r="U123" s="13" t="s">
        <v>60</v>
      </c>
      <c r="V123" s="3" t="s">
        <v>58</v>
      </c>
      <c r="W123" s="44">
        <f>'Kalkulace a Porovnání'!W123</f>
        <v>0</v>
      </c>
      <c r="X123" s="44">
        <f>'Kalkulace a Porovnání'!X123</f>
        <v>2.9333330000000001E-2</v>
      </c>
      <c r="Y123" s="44">
        <f>'Kalkulace a Porovnání'!Y123</f>
        <v>-2.9333330000000001E-2</v>
      </c>
      <c r="Z123" s="44">
        <f>'Kalkulace a Porovnání'!Z123</f>
        <v>0</v>
      </c>
      <c r="AA123" s="44">
        <f>'Kalkulace a Porovnání'!AA123</f>
        <v>0</v>
      </c>
      <c r="AB123" s="30">
        <f>'Kalkulace a Porovnání'!AB123</f>
        <v>0</v>
      </c>
      <c r="AC123" s="146"/>
      <c r="AD123" s="428"/>
      <c r="AG123" s="147"/>
      <c r="AH123" s="147"/>
      <c r="AI123" s="252"/>
      <c r="AJ123" s="252"/>
      <c r="AK123" s="428"/>
      <c r="AL123" s="146"/>
    </row>
    <row r="124" spans="2:38" x14ac:dyDescent="0.25">
      <c r="B124" s="12" t="s">
        <v>56</v>
      </c>
      <c r="C124" s="13" t="s">
        <v>62</v>
      </c>
      <c r="D124" s="3" t="s">
        <v>58</v>
      </c>
      <c r="E124" s="44">
        <f>'Kalkulace a Porovnání'!E124</f>
        <v>0</v>
      </c>
      <c r="F124" s="44">
        <f>'Kalkulace a Porovnání'!F124</f>
        <v>0</v>
      </c>
      <c r="G124" s="44">
        <f>'Kalkulace a Porovnání'!G124</f>
        <v>0</v>
      </c>
      <c r="H124" s="30">
        <f>'Kalkulace a Porovnání'!H124</f>
        <v>3.5999999999999997E-2</v>
      </c>
      <c r="K124" s="12" t="s">
        <v>56</v>
      </c>
      <c r="L124" s="13" t="s">
        <v>62</v>
      </c>
      <c r="M124" s="3" t="s">
        <v>58</v>
      </c>
      <c r="N124" s="44">
        <f>'Kalkulace a Porovnání'!N124</f>
        <v>0</v>
      </c>
      <c r="O124" s="44">
        <f>'Kalkulace a Porovnání'!O124</f>
        <v>0</v>
      </c>
      <c r="P124" s="44">
        <f>'Kalkulace a Porovnání'!P124</f>
        <v>0</v>
      </c>
      <c r="Q124" s="30">
        <f>'Kalkulace a Porovnání'!Q124</f>
        <v>0</v>
      </c>
      <c r="T124" s="12" t="s">
        <v>56</v>
      </c>
      <c r="U124" s="13" t="s">
        <v>62</v>
      </c>
      <c r="V124" s="3" t="s">
        <v>58</v>
      </c>
      <c r="W124" s="44">
        <f>'Kalkulace a Porovnání'!W124</f>
        <v>0</v>
      </c>
      <c r="X124" s="44">
        <f>'Kalkulace a Porovnání'!X124</f>
        <v>0</v>
      </c>
      <c r="Y124" s="44">
        <f>'Kalkulace a Porovnání'!Y124</f>
        <v>0</v>
      </c>
      <c r="Z124" s="44">
        <f>'Kalkulace a Porovnání'!Z124</f>
        <v>0</v>
      </c>
      <c r="AA124" s="44">
        <f>'Kalkulace a Porovnání'!AA124</f>
        <v>3.5999999999999997E-2</v>
      </c>
      <c r="AB124" s="30">
        <f>'Kalkulace a Porovnání'!AB124</f>
        <v>-3.5999999999999997E-2</v>
      </c>
      <c r="AC124" s="146"/>
      <c r="AD124" s="428"/>
      <c r="AG124" s="430"/>
      <c r="AH124" s="430"/>
      <c r="AI124" s="252"/>
      <c r="AJ124" s="252"/>
      <c r="AK124" s="428"/>
      <c r="AL124" s="146"/>
    </row>
    <row r="125" spans="2:38" x14ac:dyDescent="0.25">
      <c r="B125" s="12" t="s">
        <v>59</v>
      </c>
      <c r="C125" s="13" t="s">
        <v>60</v>
      </c>
      <c r="D125" s="3" t="s">
        <v>58</v>
      </c>
      <c r="E125" s="44">
        <f>'Kalkulace a Porovnání'!E125</f>
        <v>0</v>
      </c>
      <c r="F125" s="44">
        <f>'Kalkulace a Porovnání'!F125</f>
        <v>0</v>
      </c>
      <c r="G125" s="44">
        <f>'Kalkulace a Porovnání'!G125</f>
        <v>0</v>
      </c>
      <c r="H125" s="30">
        <f>'Kalkulace a Porovnání'!H125</f>
        <v>2.5999999999999999E-2</v>
      </c>
      <c r="K125" s="12" t="s">
        <v>59</v>
      </c>
      <c r="L125" s="13" t="s">
        <v>60</v>
      </c>
      <c r="M125" s="3" t="s">
        <v>58</v>
      </c>
      <c r="N125" s="44">
        <f>'Kalkulace a Porovnání'!N125</f>
        <v>0</v>
      </c>
      <c r="O125" s="44">
        <f>'Kalkulace a Porovnání'!O125</f>
        <v>0</v>
      </c>
      <c r="P125" s="44">
        <f>'Kalkulace a Porovnání'!P125</f>
        <v>0</v>
      </c>
      <c r="Q125" s="30">
        <f>'Kalkulace a Porovnání'!Q125</f>
        <v>0</v>
      </c>
      <c r="T125" s="12" t="s">
        <v>59</v>
      </c>
      <c r="U125" s="13" t="s">
        <v>60</v>
      </c>
      <c r="V125" s="3" t="s">
        <v>58</v>
      </c>
      <c r="W125" s="44">
        <f>'Kalkulace a Porovnání'!W125</f>
        <v>0</v>
      </c>
      <c r="X125" s="44">
        <f>'Kalkulace a Porovnání'!X125</f>
        <v>0</v>
      </c>
      <c r="Y125" s="44">
        <f>'Kalkulace a Porovnání'!Y125</f>
        <v>0</v>
      </c>
      <c r="Z125" s="44">
        <f>'Kalkulace a Porovnání'!Z125</f>
        <v>0</v>
      </c>
      <c r="AA125" s="44">
        <f>'Kalkulace a Porovnání'!AA125</f>
        <v>2.5999999999999999E-2</v>
      </c>
      <c r="AB125" s="30">
        <f>'Kalkulace a Porovnání'!AB125</f>
        <v>-2.5999999999999999E-2</v>
      </c>
      <c r="AC125" s="146"/>
      <c r="AD125" s="428"/>
      <c r="AG125" s="427"/>
      <c r="AH125" s="427"/>
      <c r="AI125" s="252"/>
      <c r="AJ125" s="252"/>
      <c r="AK125" s="428"/>
      <c r="AL125" s="146"/>
    </row>
    <row r="126" spans="2:38" x14ac:dyDescent="0.25">
      <c r="B126" s="12" t="s">
        <v>61</v>
      </c>
      <c r="C126" s="13" t="s">
        <v>65</v>
      </c>
      <c r="D126" s="3" t="s">
        <v>58</v>
      </c>
      <c r="E126" s="44">
        <f>'Kalkulace a Porovnání'!E126</f>
        <v>0</v>
      </c>
      <c r="F126" s="44">
        <f>'Kalkulace a Porovnání'!F126</f>
        <v>0</v>
      </c>
      <c r="G126" s="44">
        <f>'Kalkulace a Porovnání'!G126</f>
        <v>0</v>
      </c>
      <c r="H126" s="30">
        <f>'Kalkulace a Porovnání'!H126</f>
        <v>8.0000000000000002E-3</v>
      </c>
      <c r="K126" s="12" t="s">
        <v>61</v>
      </c>
      <c r="L126" s="13" t="s">
        <v>65</v>
      </c>
      <c r="M126" s="3" t="s">
        <v>58</v>
      </c>
      <c r="N126" s="44">
        <f>'Kalkulace a Porovnání'!N126</f>
        <v>0</v>
      </c>
      <c r="O126" s="44">
        <f>'Kalkulace a Porovnání'!O126</f>
        <v>0</v>
      </c>
      <c r="P126" s="44">
        <f>'Kalkulace a Porovnání'!P126</f>
        <v>0</v>
      </c>
      <c r="Q126" s="30">
        <f>'Kalkulace a Porovnání'!Q126</f>
        <v>0</v>
      </c>
      <c r="T126" s="12" t="s">
        <v>61</v>
      </c>
      <c r="U126" s="13" t="s">
        <v>65</v>
      </c>
      <c r="V126" s="3" t="s">
        <v>58</v>
      </c>
      <c r="W126" s="44">
        <f>'Kalkulace a Porovnání'!W126</f>
        <v>0</v>
      </c>
      <c r="X126" s="44">
        <f>'Kalkulace a Porovnání'!X126</f>
        <v>0</v>
      </c>
      <c r="Y126" s="44">
        <f>'Kalkulace a Porovnání'!Y126</f>
        <v>0</v>
      </c>
      <c r="Z126" s="44">
        <f>'Kalkulace a Porovnání'!Z126</f>
        <v>0</v>
      </c>
      <c r="AA126" s="44">
        <f>'Kalkulace a Porovnání'!AA126</f>
        <v>8.0000000000000002E-3</v>
      </c>
      <c r="AB126" s="30">
        <f>'Kalkulace a Porovnání'!AB126</f>
        <v>-8.0000000000000002E-3</v>
      </c>
      <c r="AC126" s="146"/>
      <c r="AD126" s="428"/>
      <c r="AG126" s="147"/>
      <c r="AH126" s="147"/>
      <c r="AI126" s="430"/>
      <c r="AJ126" s="430"/>
      <c r="AK126" s="428"/>
      <c r="AL126" s="146"/>
    </row>
    <row r="127" spans="2:38" x14ac:dyDescent="0.25">
      <c r="B127" s="12" t="s">
        <v>63</v>
      </c>
      <c r="C127" s="13" t="s">
        <v>67</v>
      </c>
      <c r="D127" s="3" t="s">
        <v>58</v>
      </c>
      <c r="E127" s="44">
        <f>'Kalkulace a Porovnání'!E127</f>
        <v>0</v>
      </c>
      <c r="F127" s="44">
        <f>'Kalkulace a Porovnání'!F127</f>
        <v>0</v>
      </c>
      <c r="G127" s="44">
        <f>'Kalkulace a Porovnání'!G127</f>
        <v>0</v>
      </c>
      <c r="H127" s="30">
        <f>'Kalkulace a Porovnání'!H127</f>
        <v>0.1</v>
      </c>
      <c r="K127" s="12" t="s">
        <v>63</v>
      </c>
      <c r="L127" s="13" t="s">
        <v>67</v>
      </c>
      <c r="M127" s="3" t="s">
        <v>58</v>
      </c>
      <c r="N127" s="44">
        <f>'Kalkulace a Porovnání'!N127</f>
        <v>0</v>
      </c>
      <c r="O127" s="44">
        <f>'Kalkulace a Porovnání'!O127</f>
        <v>0</v>
      </c>
      <c r="P127" s="44">
        <f>'Kalkulace a Porovnání'!P127</f>
        <v>0</v>
      </c>
      <c r="Q127" s="30">
        <f>'Kalkulace a Porovnání'!Q127</f>
        <v>0</v>
      </c>
      <c r="T127" s="12" t="s">
        <v>63</v>
      </c>
      <c r="U127" s="13" t="s">
        <v>67</v>
      </c>
      <c r="V127" s="3" t="s">
        <v>58</v>
      </c>
      <c r="W127" s="44">
        <f>'Kalkulace a Porovnání'!W127</f>
        <v>0</v>
      </c>
      <c r="X127" s="44">
        <f>'Kalkulace a Porovnání'!X127</f>
        <v>0</v>
      </c>
      <c r="Y127" s="44">
        <f>'Kalkulace a Porovnání'!Y127</f>
        <v>0</v>
      </c>
      <c r="Z127" s="44">
        <f>'Kalkulace a Porovnání'!Z127</f>
        <v>0</v>
      </c>
      <c r="AA127" s="44">
        <f>'Kalkulace a Porovnání'!AA127</f>
        <v>0.1</v>
      </c>
      <c r="AB127" s="30">
        <f>'Kalkulace a Porovnání'!AB127</f>
        <v>-0.1</v>
      </c>
      <c r="AC127" s="146"/>
      <c r="AD127" s="428"/>
      <c r="AG127" s="147"/>
      <c r="AH127" s="147"/>
      <c r="AI127" s="430"/>
      <c r="AJ127" s="430"/>
      <c r="AK127" s="428"/>
      <c r="AL127" s="146"/>
    </row>
    <row r="128" spans="2:38" x14ac:dyDescent="0.25">
      <c r="B128" s="12" t="s">
        <v>64</v>
      </c>
      <c r="C128" s="13" t="s">
        <v>68</v>
      </c>
      <c r="D128" s="3" t="s">
        <v>58</v>
      </c>
      <c r="E128" s="44">
        <f>'Kalkulace a Porovnání'!E128</f>
        <v>0</v>
      </c>
      <c r="F128" s="44">
        <f>'Kalkulace a Porovnání'!F128</f>
        <v>0</v>
      </c>
      <c r="G128" s="44">
        <f>'Kalkulace a Porovnání'!G128</f>
        <v>0</v>
      </c>
      <c r="H128" s="30">
        <f>'Kalkulace a Porovnání'!H128</f>
        <v>0</v>
      </c>
      <c r="K128" s="12" t="s">
        <v>64</v>
      </c>
      <c r="L128" s="13" t="s">
        <v>68</v>
      </c>
      <c r="M128" s="3" t="s">
        <v>58</v>
      </c>
      <c r="N128" s="44">
        <f>'Kalkulace a Porovnání'!N128</f>
        <v>0</v>
      </c>
      <c r="O128" s="44">
        <f>'Kalkulace a Porovnání'!O128</f>
        <v>0</v>
      </c>
      <c r="P128" s="44">
        <f>'Kalkulace a Porovnání'!P128</f>
        <v>0</v>
      </c>
      <c r="Q128" s="30">
        <f>'Kalkulace a Porovnání'!Q128</f>
        <v>0</v>
      </c>
      <c r="T128" s="12" t="s">
        <v>64</v>
      </c>
      <c r="U128" s="13" t="s">
        <v>68</v>
      </c>
      <c r="V128" s="3" t="s">
        <v>58</v>
      </c>
      <c r="W128" s="44">
        <f>'Kalkulace a Porovnání'!W128</f>
        <v>0</v>
      </c>
      <c r="X128" s="44">
        <f>'Kalkulace a Porovnání'!X128</f>
        <v>0</v>
      </c>
      <c r="Y128" s="44">
        <f>'Kalkulace a Porovnání'!Y128</f>
        <v>0</v>
      </c>
      <c r="Z128" s="44">
        <f>'Kalkulace a Porovnání'!Z128</f>
        <v>0</v>
      </c>
      <c r="AA128" s="44">
        <f>'Kalkulace a Porovnání'!AA128</f>
        <v>0</v>
      </c>
      <c r="AB128" s="30">
        <f>'Kalkulace a Porovnání'!AB128</f>
        <v>0</v>
      </c>
      <c r="AC128" s="146"/>
      <c r="AD128" s="428"/>
      <c r="AG128" s="147"/>
      <c r="AH128" s="147"/>
      <c r="AI128" s="430"/>
      <c r="AJ128" s="430"/>
      <c r="AK128" s="428"/>
      <c r="AL128" s="146"/>
    </row>
    <row r="129" spans="2:38" x14ac:dyDescent="0.25">
      <c r="B129" s="12" t="s">
        <v>66</v>
      </c>
      <c r="C129" s="13" t="s">
        <v>69</v>
      </c>
      <c r="D129" s="3" t="s">
        <v>58</v>
      </c>
      <c r="E129" s="44">
        <f>'Kalkulace a Porovnání'!E129</f>
        <v>0</v>
      </c>
      <c r="F129" s="44">
        <f>'Kalkulace a Porovnání'!F129</f>
        <v>0</v>
      </c>
      <c r="G129" s="44">
        <f>'Kalkulace a Porovnání'!G129</f>
        <v>0</v>
      </c>
      <c r="H129" s="30">
        <f>'Kalkulace a Porovnání'!H129</f>
        <v>0</v>
      </c>
      <c r="K129" s="12" t="s">
        <v>66</v>
      </c>
      <c r="L129" s="13" t="s">
        <v>69</v>
      </c>
      <c r="M129" s="3" t="s">
        <v>58</v>
      </c>
      <c r="N129" s="44">
        <f>'Kalkulace a Porovnání'!N129</f>
        <v>0</v>
      </c>
      <c r="O129" s="44">
        <f>'Kalkulace a Porovnání'!O129</f>
        <v>0</v>
      </c>
      <c r="P129" s="44">
        <f>'Kalkulace a Porovnání'!P129</f>
        <v>0</v>
      </c>
      <c r="Q129" s="30">
        <f>'Kalkulace a Porovnání'!Q129</f>
        <v>0</v>
      </c>
      <c r="T129" s="12" t="s">
        <v>66</v>
      </c>
      <c r="U129" s="13" t="s">
        <v>69</v>
      </c>
      <c r="V129" s="3" t="s">
        <v>58</v>
      </c>
      <c r="W129" s="44">
        <f>'Kalkulace a Porovnání'!W129</f>
        <v>0</v>
      </c>
      <c r="X129" s="44">
        <f>'Kalkulace a Porovnání'!X129</f>
        <v>0</v>
      </c>
      <c r="Y129" s="44">
        <f>'Kalkulace a Porovnání'!Y129</f>
        <v>0</v>
      </c>
      <c r="Z129" s="44">
        <f>'Kalkulace a Porovnání'!Z129</f>
        <v>0</v>
      </c>
      <c r="AA129" s="44">
        <f>'Kalkulace a Porovnání'!AA129</f>
        <v>0</v>
      </c>
      <c r="AB129" s="30">
        <f>'Kalkulace a Porovnání'!AB129</f>
        <v>0</v>
      </c>
      <c r="AC129" s="146"/>
      <c r="AD129" s="428"/>
      <c r="AG129" s="314"/>
      <c r="AH129" s="314"/>
      <c r="AI129" s="252"/>
      <c r="AJ129" s="252"/>
      <c r="AK129" s="428"/>
      <c r="AL129" s="146"/>
    </row>
    <row r="130" spans="2:38" x14ac:dyDescent="0.25">
      <c r="B130" s="1"/>
      <c r="C130" s="1"/>
      <c r="D130" s="1"/>
      <c r="E130" s="1"/>
      <c r="F130" s="1"/>
      <c r="G130" s="1"/>
      <c r="H130" s="1"/>
      <c r="K130" s="1"/>
      <c r="L130" s="1"/>
      <c r="M130" s="1"/>
      <c r="N130" s="1"/>
      <c r="O130" s="1"/>
      <c r="P130" s="1"/>
      <c r="Q130" s="1"/>
      <c r="T130" s="1"/>
      <c r="U130" s="1"/>
      <c r="V130" s="1"/>
      <c r="W130" s="1"/>
      <c r="X130" s="1"/>
      <c r="Y130" s="1"/>
      <c r="Z130" s="1"/>
      <c r="AA130" s="1"/>
      <c r="AB130" s="1"/>
      <c r="AC130" s="146"/>
      <c r="AD130" s="428"/>
      <c r="AG130" s="428"/>
      <c r="AH130" s="428"/>
      <c r="AI130" s="428"/>
      <c r="AJ130" s="428"/>
      <c r="AK130" s="428"/>
      <c r="AL130" s="146"/>
    </row>
    <row r="131" spans="2:38" x14ac:dyDescent="0.25">
      <c r="B131" s="1052" t="s">
        <v>5</v>
      </c>
      <c r="C131" s="884" t="s">
        <v>70</v>
      </c>
      <c r="D131" s="868"/>
      <c r="E131" s="1082"/>
      <c r="F131" s="1083"/>
      <c r="G131" s="868"/>
      <c r="H131" s="869"/>
      <c r="K131" s="1052" t="s">
        <v>5</v>
      </c>
      <c r="L131" s="884" t="s">
        <v>70</v>
      </c>
      <c r="M131" s="868"/>
      <c r="N131" s="1082"/>
      <c r="O131" s="1083"/>
      <c r="P131" s="868"/>
      <c r="Q131" s="869"/>
      <c r="T131" s="1098" t="s">
        <v>5</v>
      </c>
      <c r="U131" s="884" t="s">
        <v>70</v>
      </c>
      <c r="V131" s="868"/>
      <c r="W131" s="1082"/>
      <c r="X131" s="1082"/>
      <c r="Y131" s="1083"/>
      <c r="Z131" s="868"/>
      <c r="AA131" s="868"/>
      <c r="AB131" s="869"/>
      <c r="AC131" s="146"/>
      <c r="AD131" s="428"/>
      <c r="AG131" s="428"/>
      <c r="AH131" s="428"/>
      <c r="AI131" s="428"/>
      <c r="AJ131" s="428"/>
      <c r="AK131" s="428"/>
      <c r="AL131" s="146"/>
    </row>
    <row r="132" spans="2:38" ht="15" customHeight="1" x14ac:dyDescent="0.25">
      <c r="B132" s="1053"/>
      <c r="C132" s="1052" t="s">
        <v>71</v>
      </c>
      <c r="D132" s="1065" t="s">
        <v>133</v>
      </c>
      <c r="E132" s="1085" t="s">
        <v>102</v>
      </c>
      <c r="F132" s="1086"/>
      <c r="G132" s="85" t="s">
        <v>3</v>
      </c>
      <c r="H132" s="23" t="s">
        <v>4</v>
      </c>
      <c r="K132" s="1053"/>
      <c r="L132" s="5" t="s">
        <v>71</v>
      </c>
      <c r="M132" s="1065" t="s">
        <v>133</v>
      </c>
      <c r="N132" s="1085" t="s">
        <v>102</v>
      </c>
      <c r="O132" s="1086"/>
      <c r="P132" s="85" t="s">
        <v>3</v>
      </c>
      <c r="Q132" s="23" t="s">
        <v>4</v>
      </c>
      <c r="T132" s="1099"/>
      <c r="U132" s="1052" t="s">
        <v>71</v>
      </c>
      <c r="V132" s="1065" t="s">
        <v>133</v>
      </c>
      <c r="W132" s="1085" t="s">
        <v>102</v>
      </c>
      <c r="X132" s="1086"/>
      <c r="Y132" s="1085" t="s">
        <v>3</v>
      </c>
      <c r="Z132" s="1101"/>
      <c r="AA132" s="1102" t="s">
        <v>4</v>
      </c>
      <c r="AB132" s="1102"/>
      <c r="AC132" s="146"/>
      <c r="AD132" s="428"/>
      <c r="AG132" s="428"/>
      <c r="AH132" s="428"/>
      <c r="AI132" s="428"/>
      <c r="AJ132" s="428"/>
      <c r="AK132" s="428"/>
      <c r="AL132" s="146"/>
    </row>
    <row r="133" spans="2:38" x14ac:dyDescent="0.25">
      <c r="B133" s="1054"/>
      <c r="C133" s="1054"/>
      <c r="D133" s="1084"/>
      <c r="E133" s="1087"/>
      <c r="F133" s="1088"/>
      <c r="G133" s="26" t="s">
        <v>7</v>
      </c>
      <c r="H133" s="24" t="s">
        <v>7</v>
      </c>
      <c r="K133" s="1054"/>
      <c r="L133" s="8"/>
      <c r="M133" s="1084"/>
      <c r="N133" s="1087"/>
      <c r="O133" s="1088"/>
      <c r="P133" s="26" t="s">
        <v>7</v>
      </c>
      <c r="Q133" s="24" t="s">
        <v>7</v>
      </c>
      <c r="T133" s="1100"/>
      <c r="U133" s="1054"/>
      <c r="V133" s="1084"/>
      <c r="W133" s="1087"/>
      <c r="X133" s="1088"/>
      <c r="Y133" s="37" t="s">
        <v>148</v>
      </c>
      <c r="Z133" s="37" t="s">
        <v>7</v>
      </c>
      <c r="AA133" s="37" t="s">
        <v>148</v>
      </c>
      <c r="AB133" s="37" t="s">
        <v>7</v>
      </c>
      <c r="AC133" s="146"/>
      <c r="AD133" s="428"/>
      <c r="AG133" s="428"/>
      <c r="AH133" s="428"/>
      <c r="AI133" s="428"/>
      <c r="AJ133" s="428"/>
      <c r="AK133" s="428"/>
      <c r="AL133" s="146"/>
    </row>
    <row r="134" spans="2:38" x14ac:dyDescent="0.25">
      <c r="B134" s="11">
        <v>1</v>
      </c>
      <c r="C134" s="11">
        <v>2</v>
      </c>
      <c r="D134" s="11" t="s">
        <v>95</v>
      </c>
      <c r="E134" s="873" t="s">
        <v>99</v>
      </c>
      <c r="F134" s="874"/>
      <c r="G134" s="11" t="s">
        <v>100</v>
      </c>
      <c r="H134" s="22" t="s">
        <v>101</v>
      </c>
      <c r="K134" s="11">
        <v>1</v>
      </c>
      <c r="L134" s="11">
        <v>2</v>
      </c>
      <c r="M134" s="11" t="s">
        <v>95</v>
      </c>
      <c r="N134" s="873" t="s">
        <v>99</v>
      </c>
      <c r="O134" s="874"/>
      <c r="P134" s="11" t="s">
        <v>100</v>
      </c>
      <c r="Q134" s="22" t="s">
        <v>101</v>
      </c>
      <c r="T134" s="11">
        <v>1</v>
      </c>
      <c r="U134" s="11">
        <v>2</v>
      </c>
      <c r="V134" s="11" t="s">
        <v>95</v>
      </c>
      <c r="W134" s="1096" t="s">
        <v>99</v>
      </c>
      <c r="X134" s="1097"/>
      <c r="Y134" s="11" t="s">
        <v>153</v>
      </c>
      <c r="Z134" s="11" t="s">
        <v>100</v>
      </c>
      <c r="AA134" s="11" t="s">
        <v>152</v>
      </c>
      <c r="AB134" s="22" t="s">
        <v>101</v>
      </c>
      <c r="AC134" s="146"/>
      <c r="AD134" s="428"/>
      <c r="AG134" s="428"/>
      <c r="AH134" s="428"/>
      <c r="AI134" s="428"/>
      <c r="AJ134" s="428"/>
      <c r="AK134" s="428"/>
      <c r="AL134" s="146"/>
    </row>
    <row r="135" spans="2:38" ht="18" customHeight="1" x14ac:dyDescent="0.25">
      <c r="B135" s="12" t="s">
        <v>72</v>
      </c>
      <c r="C135" s="13" t="s">
        <v>104</v>
      </c>
      <c r="D135" s="13" t="s">
        <v>73</v>
      </c>
      <c r="E135" s="1126" t="s">
        <v>403</v>
      </c>
      <c r="F135" s="1127"/>
      <c r="G135" s="138">
        <f>'Kalkulace a Porovnání'!G135</f>
        <v>24.708000047496004</v>
      </c>
      <c r="H135" s="138">
        <f>'Kalkulace a Porovnání'!H135</f>
        <v>48.776362879999994</v>
      </c>
      <c r="K135" s="12" t="s">
        <v>72</v>
      </c>
      <c r="L135" s="13" t="s">
        <v>104</v>
      </c>
      <c r="M135" s="13" t="s">
        <v>73</v>
      </c>
      <c r="N135" s="875" t="s">
        <v>403</v>
      </c>
      <c r="O135" s="859"/>
      <c r="P135" s="138">
        <f>'Kalkulace a Porovnání'!P135</f>
        <v>0</v>
      </c>
      <c r="Q135" s="138">
        <f>'Kalkulace a Porovnání'!Q135</f>
        <v>0</v>
      </c>
      <c r="T135" s="12" t="s">
        <v>72</v>
      </c>
      <c r="U135" s="13" t="s">
        <v>104</v>
      </c>
      <c r="V135" s="13" t="s">
        <v>73</v>
      </c>
      <c r="W135" s="875" t="s">
        <v>403</v>
      </c>
      <c r="X135" s="859"/>
      <c r="Y135" s="138">
        <f>'Kalkulace a Porovnání'!Y135</f>
        <v>0</v>
      </c>
      <c r="Z135" s="138">
        <f>'Kalkulace a Porovnání'!Z135</f>
        <v>24.708000047496004</v>
      </c>
      <c r="AA135" s="138">
        <f>'Kalkulace a Porovnání'!AA135</f>
        <v>0</v>
      </c>
      <c r="AB135" s="138">
        <f>'Kalkulace a Porovnání'!AB135</f>
        <v>48.776362879999994</v>
      </c>
      <c r="AC135" s="146"/>
      <c r="AD135" s="428"/>
      <c r="AG135" s="428"/>
      <c r="AH135" s="428"/>
      <c r="AI135" s="428"/>
      <c r="AJ135" s="428"/>
      <c r="AK135" s="428"/>
      <c r="AL135" s="146"/>
    </row>
    <row r="136" spans="2:38" x14ac:dyDescent="0.25">
      <c r="B136" s="12" t="s">
        <v>74</v>
      </c>
      <c r="C136" s="13" t="s">
        <v>358</v>
      </c>
      <c r="D136" s="13" t="s">
        <v>10</v>
      </c>
      <c r="E136" s="858" t="s">
        <v>404</v>
      </c>
      <c r="F136" s="870"/>
      <c r="G136" s="138">
        <f>G137+G138</f>
        <v>0</v>
      </c>
      <c r="H136" s="138">
        <f>H137+H138</f>
        <v>0</v>
      </c>
      <c r="K136" s="12" t="s">
        <v>74</v>
      </c>
      <c r="L136" s="13" t="s">
        <v>358</v>
      </c>
      <c r="M136" s="13" t="s">
        <v>10</v>
      </c>
      <c r="N136" s="858" t="s">
        <v>404</v>
      </c>
      <c r="O136" s="870"/>
      <c r="P136" s="138">
        <f>P137+P138</f>
        <v>0</v>
      </c>
      <c r="Q136" s="138">
        <f>Q137+Q138</f>
        <v>0</v>
      </c>
      <c r="T136" s="12" t="s">
        <v>74</v>
      </c>
      <c r="U136" s="13" t="s">
        <v>358</v>
      </c>
      <c r="V136" s="13" t="s">
        <v>10</v>
      </c>
      <c r="W136" s="858" t="s">
        <v>404</v>
      </c>
      <c r="X136" s="870"/>
      <c r="Y136" s="138">
        <f>Y137+Y138</f>
        <v>0</v>
      </c>
      <c r="Z136" s="138">
        <f t="shared" ref="Z136:AB136" si="1">Z137+Z138</f>
        <v>0</v>
      </c>
      <c r="AA136" s="138">
        <f t="shared" si="1"/>
        <v>0</v>
      </c>
      <c r="AB136" s="138">
        <f t="shared" si="1"/>
        <v>0</v>
      </c>
      <c r="AC136" s="146"/>
      <c r="AD136" s="428"/>
      <c r="AG136" s="428"/>
      <c r="AH136" s="428"/>
      <c r="AI136" s="428"/>
      <c r="AJ136" s="428"/>
      <c r="AK136" s="428"/>
      <c r="AL136" s="146"/>
    </row>
    <row r="137" spans="2:38" x14ac:dyDescent="0.25">
      <c r="B137" s="12" t="s">
        <v>352</v>
      </c>
      <c r="C137" s="13" t="s">
        <v>359</v>
      </c>
      <c r="D137" s="13" t="s">
        <v>10</v>
      </c>
      <c r="E137" s="871"/>
      <c r="F137" s="872"/>
      <c r="G137" s="138">
        <f>'Kalkulace a Porovnání'!G137</f>
        <v>0</v>
      </c>
      <c r="H137" s="138">
        <f>'Kalkulace a Porovnání'!H137</f>
        <v>0</v>
      </c>
      <c r="K137" s="12" t="s">
        <v>352</v>
      </c>
      <c r="L137" s="13" t="s">
        <v>359</v>
      </c>
      <c r="M137" s="13" t="s">
        <v>10</v>
      </c>
      <c r="N137" s="871"/>
      <c r="O137" s="872"/>
      <c r="P137" s="138">
        <f>'Kalkulace a Porovnání'!P137</f>
        <v>0</v>
      </c>
      <c r="Q137" s="138">
        <f>'Kalkulace a Porovnání'!Q137</f>
        <v>0</v>
      </c>
      <c r="T137" s="12" t="s">
        <v>352</v>
      </c>
      <c r="U137" s="13" t="s">
        <v>359</v>
      </c>
      <c r="V137" s="13" t="s">
        <v>10</v>
      </c>
      <c r="W137" s="871"/>
      <c r="X137" s="872"/>
      <c r="Y137" s="138">
        <f>'Kalkulace a Porovnání'!Y137</f>
        <v>0</v>
      </c>
      <c r="Z137" s="138">
        <f>'Kalkulace a Porovnání'!Z137</f>
        <v>0</v>
      </c>
      <c r="AA137" s="138">
        <f>'Kalkulace a Porovnání'!AA137</f>
        <v>0</v>
      </c>
      <c r="AB137" s="138">
        <f>'Kalkulace a Porovnání'!AB137</f>
        <v>0</v>
      </c>
      <c r="AC137" s="146"/>
      <c r="AD137" s="428"/>
      <c r="AG137" s="428"/>
      <c r="AH137" s="428"/>
      <c r="AI137" s="428"/>
      <c r="AJ137" s="428"/>
      <c r="AK137" s="428"/>
      <c r="AL137" s="146"/>
    </row>
    <row r="138" spans="2:38" x14ac:dyDescent="0.25">
      <c r="B138" s="12" t="s">
        <v>361</v>
      </c>
      <c r="C138" s="13" t="s">
        <v>360</v>
      </c>
      <c r="D138" s="13" t="s">
        <v>10</v>
      </c>
      <c r="E138" s="884"/>
      <c r="F138" s="869"/>
      <c r="G138" s="138">
        <f>'Kalkulace a Porovnání'!G138</f>
        <v>0</v>
      </c>
      <c r="H138" s="138">
        <f>'Kalkulace a Porovnání'!H138</f>
        <v>0</v>
      </c>
      <c r="K138" s="12" t="s">
        <v>361</v>
      </c>
      <c r="L138" s="13" t="s">
        <v>360</v>
      </c>
      <c r="M138" s="13" t="s">
        <v>10</v>
      </c>
      <c r="N138" s="884"/>
      <c r="O138" s="869"/>
      <c r="P138" s="138">
        <f>'Kalkulace a Porovnání'!P138</f>
        <v>0</v>
      </c>
      <c r="Q138" s="138">
        <f>'Kalkulace a Porovnání'!Q138</f>
        <v>0</v>
      </c>
      <c r="T138" s="12" t="s">
        <v>361</v>
      </c>
      <c r="U138" s="13" t="s">
        <v>360</v>
      </c>
      <c r="V138" s="13" t="s">
        <v>10</v>
      </c>
      <c r="W138" s="884"/>
      <c r="X138" s="869"/>
      <c r="Y138" s="138">
        <f>'Kalkulace a Porovnání'!Y138</f>
        <v>0</v>
      </c>
      <c r="Z138" s="138">
        <f>'Kalkulace a Porovnání'!Z138</f>
        <v>0</v>
      </c>
      <c r="AA138" s="138">
        <f>'Kalkulace a Porovnání'!AA138</f>
        <v>0</v>
      </c>
      <c r="AB138" s="138">
        <f>'Kalkulace a Porovnání'!AB138</f>
        <v>0</v>
      </c>
      <c r="AC138" s="146"/>
      <c r="AD138" s="428"/>
      <c r="AG138" s="428"/>
      <c r="AH138" s="428"/>
      <c r="AI138" s="428"/>
      <c r="AJ138" s="428"/>
      <c r="AK138" s="428"/>
      <c r="AL138" s="146"/>
    </row>
    <row r="139" spans="2:38" x14ac:dyDescent="0.25">
      <c r="B139" s="12" t="s">
        <v>75</v>
      </c>
      <c r="C139" s="13" t="s">
        <v>396</v>
      </c>
      <c r="D139" s="13" t="s">
        <v>10</v>
      </c>
      <c r="E139" s="858" t="s">
        <v>405</v>
      </c>
      <c r="F139" s="859"/>
      <c r="G139" s="341">
        <f>'Kalkulace a Porovnání'!G139</f>
        <v>0.82359991922319997</v>
      </c>
      <c r="H139" s="341">
        <f>'Kalkulace a Porovnání'!H139</f>
        <v>2.1461599667199995</v>
      </c>
      <c r="K139" s="12" t="s">
        <v>75</v>
      </c>
      <c r="L139" s="13" t="s">
        <v>396</v>
      </c>
      <c r="M139" s="13" t="s">
        <v>10</v>
      </c>
      <c r="N139" s="858" t="s">
        <v>405</v>
      </c>
      <c r="O139" s="859"/>
      <c r="P139" s="341">
        <f>'Kalkulace a Porovnání'!P139</f>
        <v>0</v>
      </c>
      <c r="Q139" s="341">
        <f>'Kalkulace a Porovnání'!Q139</f>
        <v>0</v>
      </c>
      <c r="T139" s="12" t="s">
        <v>75</v>
      </c>
      <c r="U139" s="13" t="s">
        <v>396</v>
      </c>
      <c r="V139" s="13" t="s">
        <v>10</v>
      </c>
      <c r="W139" s="858" t="s">
        <v>405</v>
      </c>
      <c r="X139" s="859"/>
      <c r="Y139" s="341">
        <f>'Kalkulace a Porovnání'!Y139</f>
        <v>0.32656000000000002</v>
      </c>
      <c r="Z139" s="341">
        <f>'Kalkulace a Porovnání'!Z139</f>
        <v>0.82359991922319997</v>
      </c>
      <c r="AA139" s="341">
        <f>'Kalkulace a Porovnání'!AA139</f>
        <v>0.91936000000000007</v>
      </c>
      <c r="AB139" s="341">
        <f>'Kalkulace a Porovnání'!AB139</f>
        <v>2.1461599667199995</v>
      </c>
      <c r="AC139" s="146"/>
      <c r="AD139" s="428"/>
      <c r="AG139" s="428"/>
      <c r="AH139" s="428"/>
      <c r="AI139" s="428"/>
      <c r="AJ139" s="428"/>
      <c r="AK139" s="428"/>
      <c r="AL139" s="146"/>
    </row>
    <row r="140" spans="2:38" x14ac:dyDescent="0.25">
      <c r="B140" s="12" t="s">
        <v>76</v>
      </c>
      <c r="C140" s="13" t="s">
        <v>373</v>
      </c>
      <c r="D140" s="13" t="s">
        <v>10</v>
      </c>
      <c r="E140" s="858"/>
      <c r="F140" s="859"/>
      <c r="G140" s="341">
        <f>'Kalkulace a Porovnání'!G140</f>
        <v>2.3999896640999999E-2</v>
      </c>
      <c r="H140" s="341">
        <f>'Kalkulace a Porovnání'!H140</f>
        <v>0.100000278</v>
      </c>
      <c r="K140" s="12" t="s">
        <v>76</v>
      </c>
      <c r="L140" s="13" t="s">
        <v>373</v>
      </c>
      <c r="M140" s="13" t="s">
        <v>10</v>
      </c>
      <c r="N140" s="858"/>
      <c r="O140" s="859"/>
      <c r="P140" s="341">
        <f>'Kalkulace a Porovnání'!P140</f>
        <v>0</v>
      </c>
      <c r="Q140" s="341">
        <f>'Kalkulace a Porovnání'!Q140</f>
        <v>0</v>
      </c>
      <c r="T140" s="12" t="s">
        <v>76</v>
      </c>
      <c r="U140" s="13" t="s">
        <v>373</v>
      </c>
      <c r="V140" s="13" t="s">
        <v>10</v>
      </c>
      <c r="W140" s="858"/>
      <c r="X140" s="859"/>
      <c r="Y140" s="341">
        <f>'Kalkulace a Porovnání'!Y140</f>
        <v>2.3999896640999999E-2</v>
      </c>
      <c r="Z140" s="341">
        <f>'Kalkulace a Porovnání'!Z140</f>
        <v>2.3999896640999999E-2</v>
      </c>
      <c r="AA140" s="341">
        <f>'Kalkulace a Porovnání'!AA140</f>
        <v>0.100000278</v>
      </c>
      <c r="AB140" s="341">
        <f>'Kalkulace a Porovnání'!AB140</f>
        <v>0.100000278</v>
      </c>
      <c r="AC140" s="146"/>
      <c r="AD140" s="428"/>
      <c r="AG140" s="428"/>
      <c r="AH140" s="428"/>
      <c r="AI140" s="428"/>
      <c r="AJ140" s="428"/>
      <c r="AK140" s="428"/>
      <c r="AL140" s="146"/>
    </row>
    <row r="141" spans="2:38" x14ac:dyDescent="0.25">
      <c r="B141" s="12" t="s">
        <v>78</v>
      </c>
      <c r="C141" s="21" t="s">
        <v>402</v>
      </c>
      <c r="D141" s="13" t="s">
        <v>77</v>
      </c>
      <c r="E141" s="875" t="s">
        <v>406</v>
      </c>
      <c r="F141" s="859"/>
      <c r="G141" s="138">
        <f>'Kalkulace a Porovnání'!G141</f>
        <v>2.9140236759173233</v>
      </c>
      <c r="H141" s="138">
        <f>'Kalkulace a Porovnání'!H141</f>
        <v>4.6594978729768943</v>
      </c>
      <c r="K141" s="12" t="s">
        <v>78</v>
      </c>
      <c r="L141" s="21" t="s">
        <v>402</v>
      </c>
      <c r="M141" s="13" t="s">
        <v>77</v>
      </c>
      <c r="N141" s="875" t="s">
        <v>406</v>
      </c>
      <c r="O141" s="859"/>
      <c r="P141" s="138">
        <f>'Kalkulace a Porovnání'!P141</f>
        <v>0</v>
      </c>
      <c r="Q141" s="138">
        <f>'Kalkulace a Porovnání'!Q141</f>
        <v>0</v>
      </c>
      <c r="T141" s="12" t="s">
        <v>78</v>
      </c>
      <c r="U141" s="21" t="s">
        <v>402</v>
      </c>
      <c r="V141" s="13" t="s">
        <v>77</v>
      </c>
      <c r="W141" s="875" t="s">
        <v>406</v>
      </c>
      <c r="X141" s="859"/>
      <c r="Y141" s="138">
        <f>'Kalkulace a Porovnání'!Y141</f>
        <v>7.3493069086844676</v>
      </c>
      <c r="Z141" s="138">
        <f>'Kalkulace a Porovnání'!Z141</f>
        <v>2.9140236759173233</v>
      </c>
      <c r="AA141" s="138">
        <f>'Kalkulace a Porovnání'!AA141</f>
        <v>10.87716215628263</v>
      </c>
      <c r="AB141" s="138">
        <f>'Kalkulace a Porovnání'!AB141</f>
        <v>4.6594978729768943</v>
      </c>
      <c r="AC141" s="146"/>
      <c r="AD141" s="428"/>
      <c r="AG141" s="428"/>
      <c r="AH141" s="428"/>
      <c r="AI141" s="428"/>
      <c r="AJ141" s="428"/>
      <c r="AK141" s="428"/>
      <c r="AL141" s="146"/>
    </row>
    <row r="142" spans="2:38" x14ac:dyDescent="0.25">
      <c r="B142" s="12" t="s">
        <v>79</v>
      </c>
      <c r="C142" s="21" t="s">
        <v>408</v>
      </c>
      <c r="D142" s="13" t="s">
        <v>10</v>
      </c>
      <c r="E142" s="858" t="s">
        <v>407</v>
      </c>
      <c r="F142" s="859"/>
      <c r="G142" s="341">
        <f>'Kalkulace a Porovnání'!G142</f>
        <v>0</v>
      </c>
      <c r="H142" s="341">
        <f>'Kalkulace a Porovnání'!H142</f>
        <v>0</v>
      </c>
      <c r="K142" s="12" t="s">
        <v>79</v>
      </c>
      <c r="L142" s="21" t="s">
        <v>408</v>
      </c>
      <c r="M142" s="13" t="s">
        <v>10</v>
      </c>
      <c r="N142" s="858" t="s">
        <v>407</v>
      </c>
      <c r="O142" s="859"/>
      <c r="P142" s="341">
        <f>'Kalkulace a Porovnání'!P142</f>
        <v>0</v>
      </c>
      <c r="Q142" s="341">
        <f>'Kalkulace a Porovnání'!Q142</f>
        <v>0</v>
      </c>
      <c r="T142" s="12" t="s">
        <v>79</v>
      </c>
      <c r="U142" s="21" t="s">
        <v>408</v>
      </c>
      <c r="V142" s="13" t="s">
        <v>10</v>
      </c>
      <c r="W142" s="858" t="s">
        <v>407</v>
      </c>
      <c r="X142" s="859"/>
      <c r="Y142" s="341">
        <f>'Kalkulace a Porovnání'!Y142</f>
        <v>0</v>
      </c>
      <c r="Z142" s="341">
        <f>'Kalkulace a Porovnání'!Z142</f>
        <v>0</v>
      </c>
      <c r="AA142" s="341">
        <f>'Kalkulace a Porovnání'!AA142</f>
        <v>0</v>
      </c>
      <c r="AB142" s="341">
        <f>'Kalkulace a Porovnání'!AB142</f>
        <v>0</v>
      </c>
      <c r="AC142" s="146"/>
      <c r="AD142" s="428"/>
      <c r="AG142" s="428"/>
      <c r="AH142" s="428"/>
      <c r="AI142" s="428"/>
      <c r="AJ142" s="428"/>
      <c r="AK142" s="428"/>
      <c r="AL142" s="146"/>
    </row>
    <row r="143" spans="2:38" x14ac:dyDescent="0.25">
      <c r="B143" s="12" t="s">
        <v>80</v>
      </c>
      <c r="C143" s="21" t="s">
        <v>354</v>
      </c>
      <c r="D143" s="13" t="s">
        <v>10</v>
      </c>
      <c r="E143" s="858" t="s">
        <v>409</v>
      </c>
      <c r="F143" s="870"/>
      <c r="G143" s="341">
        <f>'Kalkulace a Porovnání'!G143</f>
        <v>2.3999896640999999E-2</v>
      </c>
      <c r="H143" s="341">
        <f>'Kalkulace a Porovnání'!H143</f>
        <v>0.100000278</v>
      </c>
      <c r="K143" s="12" t="s">
        <v>80</v>
      </c>
      <c r="L143" s="21" t="s">
        <v>354</v>
      </c>
      <c r="M143" s="13" t="s">
        <v>10</v>
      </c>
      <c r="N143" s="858" t="s">
        <v>409</v>
      </c>
      <c r="O143" s="870"/>
      <c r="P143" s="341">
        <f>'Kalkulace a Porovnání'!P143</f>
        <v>0</v>
      </c>
      <c r="Q143" s="341">
        <f>'Kalkulace a Porovnání'!Q143</f>
        <v>0</v>
      </c>
      <c r="T143" s="12" t="s">
        <v>80</v>
      </c>
      <c r="U143" s="21" t="s">
        <v>354</v>
      </c>
      <c r="V143" s="13" t="s">
        <v>10</v>
      </c>
      <c r="W143" s="858" t="s">
        <v>409</v>
      </c>
      <c r="X143" s="870"/>
      <c r="Y143" s="341">
        <f>'Kalkulace a Porovnání'!Y143</f>
        <v>2.3999896640999999E-2</v>
      </c>
      <c r="Z143" s="341">
        <f>'Kalkulace a Porovnání'!Z143</f>
        <v>2.3999896640999999E-2</v>
      </c>
      <c r="AA143" s="341">
        <f>'Kalkulace a Porovnání'!AA143</f>
        <v>0.100000278</v>
      </c>
      <c r="AB143" s="341">
        <f>'Kalkulace a Porovnání'!AB143</f>
        <v>0.100000278</v>
      </c>
      <c r="AC143" s="146"/>
      <c r="AD143" s="428"/>
      <c r="AG143" s="428"/>
      <c r="AH143" s="428"/>
      <c r="AI143" s="428"/>
      <c r="AJ143" s="428"/>
      <c r="AK143" s="428"/>
      <c r="AL143" s="146"/>
    </row>
    <row r="144" spans="2:38" x14ac:dyDescent="0.25">
      <c r="B144" s="12" t="s">
        <v>82</v>
      </c>
      <c r="C144" s="13" t="s">
        <v>395</v>
      </c>
      <c r="D144" s="13" t="s">
        <v>10</v>
      </c>
      <c r="E144" s="858" t="s">
        <v>410</v>
      </c>
      <c r="F144" s="859"/>
      <c r="G144" s="341">
        <f>'Kalkulace a Porovnání'!G144</f>
        <v>0.84759981586419997</v>
      </c>
      <c r="H144" s="341">
        <f>'Kalkulace a Porovnání'!H144</f>
        <v>2.2461602447199995</v>
      </c>
      <c r="K144" s="12" t="s">
        <v>82</v>
      </c>
      <c r="L144" s="13" t="s">
        <v>395</v>
      </c>
      <c r="M144" s="13" t="s">
        <v>10</v>
      </c>
      <c r="N144" s="858" t="s">
        <v>410</v>
      </c>
      <c r="O144" s="859"/>
      <c r="P144" s="341">
        <f>'Kalkulace a Porovnání'!P144</f>
        <v>0</v>
      </c>
      <c r="Q144" s="341">
        <f>'Kalkulace a Porovnání'!Q144</f>
        <v>0</v>
      </c>
      <c r="T144" s="12" t="s">
        <v>82</v>
      </c>
      <c r="U144" s="13" t="s">
        <v>395</v>
      </c>
      <c r="V144" s="13" t="s">
        <v>10</v>
      </c>
      <c r="W144" s="858" t="s">
        <v>410</v>
      </c>
      <c r="X144" s="859"/>
      <c r="Y144" s="341">
        <f>'Kalkulace a Porovnání'!Y144</f>
        <v>0.35055989664100001</v>
      </c>
      <c r="Z144" s="341">
        <f>'Kalkulace a Porovnání'!Z144</f>
        <v>0.84759981586419997</v>
      </c>
      <c r="AA144" s="341">
        <f>'Kalkulace a Porovnání'!AA144</f>
        <v>1.0193602780000002</v>
      </c>
      <c r="AB144" s="341">
        <f>'Kalkulace a Porovnání'!AB144</f>
        <v>2.2461602447199995</v>
      </c>
      <c r="AC144" s="146"/>
      <c r="AD144" s="428"/>
      <c r="AG144" s="428"/>
      <c r="AH144" s="428"/>
      <c r="AI144" s="428"/>
      <c r="AJ144" s="428"/>
      <c r="AK144" s="428"/>
      <c r="AL144" s="146"/>
    </row>
    <row r="145" spans="2:38" x14ac:dyDescent="0.25">
      <c r="B145" s="12" t="s">
        <v>83</v>
      </c>
      <c r="C145" s="13" t="s">
        <v>81</v>
      </c>
      <c r="D145" s="13" t="s">
        <v>58</v>
      </c>
      <c r="E145" s="858" t="s">
        <v>411</v>
      </c>
      <c r="F145" s="859"/>
      <c r="G145" s="341">
        <f>'Kalkulace a Porovnání'!G145</f>
        <v>3.3333330000000001E-2</v>
      </c>
      <c r="H145" s="341">
        <f>'Kalkulace a Porovnání'!H145</f>
        <v>4.3999999999999997E-2</v>
      </c>
      <c r="K145" s="12" t="s">
        <v>83</v>
      </c>
      <c r="L145" s="13" t="s">
        <v>81</v>
      </c>
      <c r="M145" s="13" t="s">
        <v>58</v>
      </c>
      <c r="N145" s="858" t="s">
        <v>411</v>
      </c>
      <c r="O145" s="859"/>
      <c r="P145" s="341">
        <f>'Kalkulace a Porovnání'!P145</f>
        <v>0</v>
      </c>
      <c r="Q145" s="341">
        <f>'Kalkulace a Porovnání'!Q145</f>
        <v>0</v>
      </c>
      <c r="T145" s="12" t="s">
        <v>83</v>
      </c>
      <c r="U145" s="13" t="s">
        <v>81</v>
      </c>
      <c r="V145" s="13" t="s">
        <v>58</v>
      </c>
      <c r="W145" s="858" t="s">
        <v>411</v>
      </c>
      <c r="X145" s="859"/>
      <c r="Y145" s="341">
        <f>'Kalkulace a Porovnání'!Y145</f>
        <v>0</v>
      </c>
      <c r="Z145" s="341">
        <f>'Kalkulace a Porovnání'!Z145</f>
        <v>3.3333330000000001E-2</v>
      </c>
      <c r="AA145" s="341">
        <f>'Kalkulace a Porovnání'!AA145</f>
        <v>0</v>
      </c>
      <c r="AB145" s="341">
        <f>'Kalkulace a Porovnání'!AB145</f>
        <v>4.3999999999999997E-2</v>
      </c>
      <c r="AC145" s="146"/>
      <c r="AD145" s="428"/>
      <c r="AG145" s="428"/>
      <c r="AH145" s="428"/>
      <c r="AI145" s="428"/>
      <c r="AJ145" s="428"/>
      <c r="AK145" s="428"/>
      <c r="AL145" s="146"/>
    </row>
    <row r="146" spans="2:38" x14ac:dyDescent="0.25">
      <c r="B146" s="12" t="s">
        <v>155</v>
      </c>
      <c r="C146" s="13" t="s">
        <v>393</v>
      </c>
      <c r="D146" s="13" t="s">
        <v>73</v>
      </c>
      <c r="E146" s="854" t="s">
        <v>412</v>
      </c>
      <c r="F146" s="855"/>
      <c r="G146" s="138">
        <f>'Kalkulace a Porovnání'!G146</f>
        <v>25.427997018725701</v>
      </c>
      <c r="H146" s="138">
        <f>'Kalkulace a Porovnání'!H146</f>
        <v>51.049096470909085</v>
      </c>
      <c r="K146" s="12" t="s">
        <v>155</v>
      </c>
      <c r="L146" s="13" t="s">
        <v>393</v>
      </c>
      <c r="M146" s="13" t="s">
        <v>73</v>
      </c>
      <c r="N146" s="854" t="s">
        <v>412</v>
      </c>
      <c r="O146" s="855"/>
      <c r="P146" s="138">
        <f>'Kalkulace a Porovnání'!P146</f>
        <v>0</v>
      </c>
      <c r="Q146" s="138">
        <f>'Kalkulace a Porovnání'!Q146</f>
        <v>0</v>
      </c>
      <c r="T146" s="12" t="s">
        <v>155</v>
      </c>
      <c r="U146" s="13" t="s">
        <v>393</v>
      </c>
      <c r="V146" s="13" t="s">
        <v>73</v>
      </c>
      <c r="W146" s="854" t="s">
        <v>412</v>
      </c>
      <c r="X146" s="855"/>
      <c r="Y146" s="138">
        <f>'Kalkulace a Porovnání'!Y146</f>
        <v>0</v>
      </c>
      <c r="Z146" s="138">
        <f>'Kalkulace a Porovnání'!Z146</f>
        <v>25.427997018725701</v>
      </c>
      <c r="AA146" s="138">
        <f>'Kalkulace a Porovnání'!AA146</f>
        <v>0</v>
      </c>
      <c r="AB146" s="138">
        <f>'Kalkulace a Porovnání'!AB146</f>
        <v>51.049096470909085</v>
      </c>
      <c r="AC146" s="146"/>
      <c r="AD146" s="428"/>
      <c r="AG146" s="428"/>
      <c r="AH146" s="428"/>
      <c r="AI146" s="428"/>
      <c r="AJ146" s="428"/>
      <c r="AK146" s="428"/>
      <c r="AL146" s="146"/>
    </row>
    <row r="147" spans="2:38" x14ac:dyDescent="0.25">
      <c r="B147" s="12" t="s">
        <v>355</v>
      </c>
      <c r="C147" s="13" t="str">
        <f>CONCATENATE("UPLATŇOVANÁ CENA pro vodné, stočné + ",Provozování!E169*100,"% DPH")</f>
        <v>UPLATŇOVANÁ CENA pro vodné, stočné + 0% DPH</v>
      </c>
      <c r="D147" s="13" t="s">
        <v>73</v>
      </c>
      <c r="E147" s="854" t="s">
        <v>413</v>
      </c>
      <c r="F147" s="855"/>
      <c r="G147" s="138">
        <f>'Kalkulace a Porovnání'!G147</f>
        <v>27.970796720598273</v>
      </c>
      <c r="H147" s="138">
        <f>'Kalkulace a Porovnání'!H147</f>
        <v>56.154006117999998</v>
      </c>
      <c r="K147" s="12" t="s">
        <v>355</v>
      </c>
      <c r="L147" s="13" t="str">
        <f>C147</f>
        <v>UPLATŇOVANÁ CENA pro vodné, stočné + 0% DPH</v>
      </c>
      <c r="M147" s="13" t="s">
        <v>73</v>
      </c>
      <c r="N147" s="854" t="s">
        <v>413</v>
      </c>
      <c r="O147" s="855"/>
      <c r="P147" s="138">
        <f>'Kalkulace a Porovnání'!P147</f>
        <v>0</v>
      </c>
      <c r="Q147" s="138">
        <f>'Kalkulace a Porovnání'!Q147</f>
        <v>0</v>
      </c>
      <c r="T147" s="12" t="s">
        <v>355</v>
      </c>
      <c r="U147" s="13" t="str">
        <f>C147</f>
        <v>UPLATŇOVANÁ CENA pro vodné, stočné + 0% DPH</v>
      </c>
      <c r="V147" s="13" t="s">
        <v>73</v>
      </c>
      <c r="W147" s="854" t="s">
        <v>413</v>
      </c>
      <c r="X147" s="855"/>
      <c r="Y147" s="138">
        <f>'Kalkulace a Porovnání'!Y147</f>
        <v>0</v>
      </c>
      <c r="Z147" s="138">
        <f>'Kalkulace a Porovnání'!Z147</f>
        <v>27.970796720598273</v>
      </c>
      <c r="AA147" s="138">
        <f>'Kalkulace a Porovnání'!AA147</f>
        <v>0</v>
      </c>
      <c r="AB147" s="138">
        <f>'Kalkulace a Porovnání'!AB147</f>
        <v>56.154006117999998</v>
      </c>
      <c r="AC147" s="146"/>
      <c r="AD147" s="428"/>
      <c r="AG147" s="428"/>
      <c r="AH147" s="428"/>
      <c r="AI147" s="428"/>
      <c r="AJ147" s="428"/>
      <c r="AK147" s="428"/>
      <c r="AL147" s="146"/>
    </row>
    <row r="148" spans="2:38" x14ac:dyDescent="0.25">
      <c r="B148" s="210" t="s">
        <v>356</v>
      </c>
      <c r="C148" s="244" t="s">
        <v>357</v>
      </c>
      <c r="D148" s="244"/>
      <c r="E148" s="884" t="s">
        <v>414</v>
      </c>
      <c r="F148" s="869"/>
      <c r="G148" s="138">
        <f>'Kalkulace a Porovnání'!G148</f>
        <v>0</v>
      </c>
      <c r="H148" s="138">
        <f>'Kalkulace a Porovnání'!H148</f>
        <v>0</v>
      </c>
      <c r="K148" s="210" t="s">
        <v>356</v>
      </c>
      <c r="L148" s="244" t="s">
        <v>357</v>
      </c>
      <c r="M148" s="244"/>
      <c r="N148" s="884" t="s">
        <v>414</v>
      </c>
      <c r="O148" s="869"/>
      <c r="P148" s="138">
        <f>'Kalkulace a Porovnání'!P148</f>
        <v>0</v>
      </c>
      <c r="Q148" s="138">
        <f>'Kalkulace a Porovnání'!Q148</f>
        <v>0</v>
      </c>
      <c r="T148" s="12" t="s">
        <v>356</v>
      </c>
      <c r="U148" s="13" t="s">
        <v>357</v>
      </c>
      <c r="V148" s="13"/>
      <c r="W148" s="884" t="s">
        <v>414</v>
      </c>
      <c r="X148" s="869"/>
      <c r="Y148" s="530">
        <f>'Kalkulace a Porovnání'!Y148</f>
        <v>0</v>
      </c>
      <c r="Z148" s="530">
        <f>'Kalkulace a Porovnání'!Z148</f>
        <v>0</v>
      </c>
      <c r="AA148" s="530">
        <f>'Kalkulace a Porovnání'!AA148</f>
        <v>0</v>
      </c>
      <c r="AB148" s="530">
        <f>'Kalkulace a Porovnání'!AB148</f>
        <v>0</v>
      </c>
      <c r="AC148" s="146"/>
      <c r="AD148" s="428"/>
      <c r="AG148" s="428"/>
      <c r="AH148" s="428"/>
      <c r="AI148" s="428"/>
      <c r="AJ148" s="428"/>
      <c r="AK148" s="428"/>
      <c r="AL148" s="146"/>
    </row>
    <row r="149" spans="2:38" x14ac:dyDescent="0.25">
      <c r="B149" s="29"/>
      <c r="C149" s="29"/>
      <c r="D149" s="29"/>
      <c r="E149" s="29"/>
      <c r="F149" s="29"/>
      <c r="G149" s="29"/>
      <c r="H149" s="29"/>
      <c r="I149" s="29"/>
      <c r="J149" s="29"/>
      <c r="K149" s="29"/>
      <c r="L149" s="29"/>
      <c r="M149" s="29"/>
      <c r="N149" s="29"/>
      <c r="O149" s="29"/>
      <c r="P149" s="29"/>
      <c r="Q149" s="29"/>
      <c r="R149" s="29"/>
      <c r="T149" s="1121" t="s">
        <v>364</v>
      </c>
      <c r="U149" s="1121" t="s">
        <v>154</v>
      </c>
      <c r="V149" s="1122" t="s">
        <v>10</v>
      </c>
      <c r="W149" s="854" t="s">
        <v>156</v>
      </c>
      <c r="X149" s="858"/>
      <c r="Y149" s="89" t="s">
        <v>158</v>
      </c>
      <c r="Z149" s="92" t="s">
        <v>159</v>
      </c>
      <c r="AA149" s="89" t="s">
        <v>158</v>
      </c>
      <c r="AB149" s="92" t="s">
        <v>159</v>
      </c>
      <c r="AC149" s="146"/>
      <c r="AD149" s="428"/>
      <c r="AG149" s="428"/>
      <c r="AH149" s="428"/>
      <c r="AI149" s="428"/>
      <c r="AJ149" s="428"/>
      <c r="AK149" s="428"/>
      <c r="AL149" s="146"/>
    </row>
    <row r="150" spans="2:38" x14ac:dyDescent="0.25">
      <c r="B150" s="383"/>
      <c r="C150" s="382"/>
      <c r="D150" s="382"/>
      <c r="E150" s="382"/>
      <c r="F150" s="382"/>
      <c r="G150" s="29"/>
      <c r="H150" s="29"/>
      <c r="I150" s="29"/>
      <c r="J150" s="29"/>
      <c r="K150" s="29"/>
      <c r="L150" s="29"/>
      <c r="M150" s="29"/>
      <c r="N150" s="29"/>
      <c r="O150" s="29"/>
      <c r="P150" s="29"/>
      <c r="Q150" s="29"/>
      <c r="R150" s="29"/>
      <c r="T150" s="1121"/>
      <c r="U150" s="1121"/>
      <c r="V150" s="1122"/>
      <c r="W150" s="1123">
        <f>'Kalkulace a Porovnání'!W150</f>
        <v>0</v>
      </c>
      <c r="X150" s="1124"/>
      <c r="Y150" s="90">
        <f>'Kalkulace a Porovnání'!Y150</f>
        <v>2025</v>
      </c>
      <c r="Z150" s="90">
        <f>'Kalkulace a Porovnání'!Z150</f>
        <v>2025</v>
      </c>
      <c r="AA150" s="90">
        <f>'Kalkulace a Porovnání'!AA150</f>
        <v>2025</v>
      </c>
      <c r="AB150" s="90">
        <f>'Kalkulace a Porovnání'!AB150</f>
        <v>2025</v>
      </c>
      <c r="AC150" s="146"/>
      <c r="AD150" s="428"/>
      <c r="AG150" s="428"/>
      <c r="AH150" s="428"/>
      <c r="AI150" s="428"/>
      <c r="AJ150" s="428"/>
      <c r="AK150" s="428"/>
      <c r="AL150" s="146"/>
    </row>
    <row r="151" spans="2:38" x14ac:dyDescent="0.25">
      <c r="B151" s="383"/>
      <c r="C151" s="382"/>
      <c r="D151" s="382"/>
      <c r="E151" s="382"/>
      <c r="F151" s="382"/>
      <c r="G151" s="29"/>
      <c r="H151" s="29"/>
      <c r="I151" s="29"/>
      <c r="J151" s="29"/>
      <c r="K151" s="29"/>
      <c r="L151" s="29"/>
      <c r="M151" s="29"/>
      <c r="N151" s="29"/>
      <c r="O151" s="29"/>
      <c r="P151" s="29"/>
      <c r="Q151" s="29"/>
      <c r="R151" s="29"/>
      <c r="T151" s="1121"/>
      <c r="U151" s="1121"/>
      <c r="V151" s="1122"/>
      <c r="W151" s="854" t="s">
        <v>157</v>
      </c>
      <c r="X151" s="858"/>
      <c r="Y151" s="91" t="s">
        <v>160</v>
      </c>
      <c r="Z151" s="91" t="s">
        <v>160</v>
      </c>
      <c r="AA151" s="91" t="s">
        <v>161</v>
      </c>
      <c r="AB151" s="91" t="s">
        <v>161</v>
      </c>
      <c r="AC151" s="146"/>
      <c r="AD151" s="428"/>
      <c r="AG151" s="428"/>
      <c r="AH151" s="428"/>
      <c r="AI151" s="428"/>
      <c r="AJ151" s="428"/>
      <c r="AK151" s="428"/>
      <c r="AL151" s="146"/>
    </row>
    <row r="152" spans="2:38" x14ac:dyDescent="0.25">
      <c r="B152" s="382"/>
      <c r="C152" s="382"/>
      <c r="D152" s="382"/>
      <c r="E152" s="382"/>
      <c r="F152" s="382"/>
      <c r="G152" s="29"/>
      <c r="H152" s="29"/>
      <c r="I152" s="29"/>
      <c r="J152" s="29"/>
      <c r="K152" s="29"/>
      <c r="L152" s="29"/>
      <c r="M152" s="29"/>
      <c r="N152" s="29"/>
      <c r="O152" s="29"/>
      <c r="P152" s="29"/>
      <c r="Q152" s="29"/>
      <c r="R152" s="29"/>
      <c r="T152" s="1121"/>
      <c r="U152" s="1121"/>
      <c r="V152" s="1122"/>
      <c r="W152" s="1125">
        <f>'Kalkulace a Porovnání'!W152</f>
        <v>0</v>
      </c>
      <c r="X152" s="1125"/>
      <c r="Y152" s="341">
        <f>'Kalkulace a Porovnání'!Y152</f>
        <v>0</v>
      </c>
      <c r="Z152" s="341">
        <f>'Kalkulace a Porovnání'!Z152</f>
        <v>0</v>
      </c>
      <c r="AA152" s="341">
        <f>'Kalkulace a Porovnání'!AA152</f>
        <v>0</v>
      </c>
      <c r="AB152" s="341">
        <f>'Kalkulace a Porovnání'!AB152</f>
        <v>0</v>
      </c>
      <c r="AC152" s="146"/>
      <c r="AD152" s="428"/>
      <c r="AG152" s="428"/>
      <c r="AH152" s="428"/>
      <c r="AI152" s="428"/>
      <c r="AJ152" s="428"/>
      <c r="AK152" s="428"/>
      <c r="AL152" s="146"/>
    </row>
    <row r="153" spans="2:38" x14ac:dyDescent="0.25">
      <c r="B153" s="29"/>
      <c r="AC153" s="146"/>
      <c r="AD153" s="428"/>
      <c r="AG153" s="428"/>
      <c r="AH153" s="428"/>
      <c r="AI153" s="428"/>
      <c r="AJ153" s="428"/>
      <c r="AK153" s="428"/>
      <c r="AL153" s="146"/>
    </row>
    <row r="154" spans="2:38" x14ac:dyDescent="0.25">
      <c r="B154" s="899" t="s">
        <v>316</v>
      </c>
      <c r="C154" s="900"/>
      <c r="D154" s="900"/>
      <c r="E154" s="900"/>
      <c r="F154" s="900"/>
      <c r="G154" s="900"/>
      <c r="H154" s="900"/>
      <c r="K154" s="899" t="s">
        <v>317</v>
      </c>
      <c r="L154" s="900"/>
      <c r="M154" s="900"/>
      <c r="N154" s="900"/>
      <c r="O154" s="900"/>
      <c r="P154" s="900"/>
      <c r="Q154" s="900"/>
      <c r="T154" s="899" t="s">
        <v>162</v>
      </c>
      <c r="U154" s="900"/>
      <c r="V154" s="900"/>
      <c r="W154" s="900"/>
      <c r="X154" s="900"/>
      <c r="Y154" s="900"/>
      <c r="Z154" s="900"/>
      <c r="AA154" s="900"/>
      <c r="AB154" s="900"/>
      <c r="AC154" s="146"/>
      <c r="AD154" s="428"/>
      <c r="AG154" s="428"/>
      <c r="AH154" s="428"/>
      <c r="AI154" s="428"/>
      <c r="AJ154" s="428"/>
      <c r="AK154" s="428"/>
      <c r="AL154" s="146"/>
    </row>
    <row r="155" spans="2:38" x14ac:dyDescent="0.25">
      <c r="C155" s="272"/>
      <c r="E155" s="25"/>
      <c r="F155" s="25"/>
      <c r="L155" s="25"/>
      <c r="N155" s="25"/>
      <c r="T155" s="1079" t="s">
        <v>318</v>
      </c>
      <c r="U155" s="1079"/>
      <c r="V155" s="1079"/>
      <c r="W155" s="1079"/>
      <c r="X155" s="1079"/>
      <c r="Y155" s="1079"/>
      <c r="Z155" s="1079"/>
      <c r="AA155" s="1079"/>
      <c r="AB155" s="1079"/>
      <c r="AC155" s="146"/>
      <c r="AD155" s="428"/>
      <c r="AG155" s="428"/>
      <c r="AH155" s="428"/>
      <c r="AI155" s="428"/>
      <c r="AJ155" s="428"/>
      <c r="AK155" s="428"/>
      <c r="AL155" s="146"/>
    </row>
    <row r="156" spans="2:38" x14ac:dyDescent="0.25">
      <c r="C156" s="272" t="s">
        <v>103</v>
      </c>
      <c r="D156" s="274">
        <f>'Kalkulace a Porovnání'!D156</f>
        <v>2026</v>
      </c>
      <c r="E156" s="25"/>
      <c r="F156" s="272" t="s">
        <v>221</v>
      </c>
      <c r="G156" s="275" t="str">
        <f>'Kalkulace a Porovnání'!G156</f>
        <v>-</v>
      </c>
      <c r="H156" s="275" t="str">
        <f>'Kalkulace a Porovnání'!H156</f>
        <v xml:space="preserve"> </v>
      </c>
      <c r="L156" s="272" t="s">
        <v>103</v>
      </c>
      <c r="M156" s="274">
        <f>'Kalkulace a Porovnání'!M156</f>
        <v>2026</v>
      </c>
      <c r="O156" s="272" t="s">
        <v>221</v>
      </c>
      <c r="P156" s="275" t="str">
        <f>'Kalkulace a Porovnání'!P156</f>
        <v>-</v>
      </c>
      <c r="Q156" s="275" t="str">
        <f>'Kalkulace a Porovnání'!Q156</f>
        <v xml:space="preserve"> </v>
      </c>
      <c r="T156" s="333"/>
      <c r="U156" s="333"/>
      <c r="V156" s="342" t="s">
        <v>147</v>
      </c>
      <c r="W156" s="274">
        <f>'Kalkulace a Porovnání'!W156</f>
        <v>2026</v>
      </c>
      <c r="Z156" s="272" t="s">
        <v>221</v>
      </c>
      <c r="AA156" s="275" t="str">
        <f>'Kalkulace a Porovnání'!AA156</f>
        <v>-</v>
      </c>
      <c r="AB156" s="275" t="str">
        <f>'Kalkulace a Porovnání'!AB156</f>
        <v xml:space="preserve"> </v>
      </c>
      <c r="AC156" s="146"/>
      <c r="AD156" s="428"/>
      <c r="AG156" s="428"/>
      <c r="AH156" s="428"/>
      <c r="AI156" s="428"/>
      <c r="AJ156" s="428"/>
      <c r="AK156" s="428"/>
      <c r="AL156" s="146"/>
    </row>
    <row r="157" spans="2:38" x14ac:dyDescent="0.25">
      <c r="B157" s="13" t="s">
        <v>66</v>
      </c>
      <c r="C157" s="13" t="s">
        <v>89</v>
      </c>
      <c r="D157" s="1061" t="str">
        <f>'Kalkulace a Porovnání'!D157</f>
        <v>PRVOK s.r.o., IČ 281 28 257</v>
      </c>
      <c r="E157" s="1062"/>
      <c r="F157" s="1062"/>
      <c r="G157" s="1062"/>
      <c r="H157" s="1063"/>
      <c r="K157" s="13" t="s">
        <v>66</v>
      </c>
      <c r="L157" s="13" t="s">
        <v>89</v>
      </c>
      <c r="M157" s="1061" t="str">
        <f>'Kalkulace a Porovnání'!M157</f>
        <v>PRVOK s.r.o., IČ 281 28 257</v>
      </c>
      <c r="N157" s="1062"/>
      <c r="O157" s="1062"/>
      <c r="P157" s="1062"/>
      <c r="Q157" s="1063"/>
      <c r="T157" s="13" t="s">
        <v>66</v>
      </c>
      <c r="U157" s="13" t="s">
        <v>89</v>
      </c>
      <c r="V157" s="1080" t="str">
        <f>'Kalkulace a Porovnání'!V157</f>
        <v>PRVOK s.r.o., IČ 281 28 257</v>
      </c>
      <c r="W157" s="1081"/>
      <c r="X157" s="1081"/>
      <c r="Y157" s="1081"/>
      <c r="Z157" s="1081"/>
      <c r="AA157" s="1081"/>
      <c r="AB157" s="1081"/>
      <c r="AC157" s="146"/>
      <c r="AD157" s="428"/>
      <c r="AG157" s="252"/>
      <c r="AH157" s="252"/>
      <c r="AI157" s="252"/>
      <c r="AJ157" s="252"/>
      <c r="AK157" s="428"/>
      <c r="AL157" s="146"/>
    </row>
    <row r="158" spans="2:38" x14ac:dyDescent="0.25">
      <c r="B158" s="13" t="s">
        <v>84</v>
      </c>
      <c r="C158" s="13" t="s">
        <v>90</v>
      </c>
      <c r="D158" s="1061" t="str">
        <f>'Kalkulace a Porovnání'!D158</f>
        <v>PRVOK s.r.o., IČ 281 28 257</v>
      </c>
      <c r="E158" s="1062"/>
      <c r="F158" s="1062"/>
      <c r="G158" s="1062"/>
      <c r="H158" s="1063"/>
      <c r="K158" s="13" t="s">
        <v>84</v>
      </c>
      <c r="L158" s="13" t="s">
        <v>90</v>
      </c>
      <c r="M158" s="1061" t="str">
        <f>'Kalkulace a Porovnání'!M158</f>
        <v>PRVOK s.r.o., IČ 281 28 257</v>
      </c>
      <c r="N158" s="1062"/>
      <c r="O158" s="1062"/>
      <c r="P158" s="1062"/>
      <c r="Q158" s="1063"/>
      <c r="T158" s="13" t="s">
        <v>84</v>
      </c>
      <c r="U158" s="13" t="s">
        <v>90</v>
      </c>
      <c r="V158" s="1080" t="str">
        <f>'Kalkulace a Porovnání'!V158</f>
        <v>PRVOK s.r.o., IČ 281 28 257</v>
      </c>
      <c r="W158" s="1081"/>
      <c r="X158" s="1081"/>
      <c r="Y158" s="1081"/>
      <c r="Z158" s="1081"/>
      <c r="AA158" s="1081"/>
      <c r="AB158" s="1081"/>
      <c r="AC158" s="146"/>
      <c r="AD158" s="428"/>
      <c r="AG158" s="252"/>
      <c r="AH158" s="252"/>
      <c r="AI158" s="252"/>
      <c r="AJ158" s="252"/>
      <c r="AK158" s="428"/>
      <c r="AL158" s="146"/>
    </row>
    <row r="159" spans="2:38" x14ac:dyDescent="0.25">
      <c r="B159" s="13" t="s">
        <v>85</v>
      </c>
      <c r="C159" s="13" t="s">
        <v>91</v>
      </c>
      <c r="D159" s="1061" t="str">
        <f>'Kalkulace a Porovnání'!D159</f>
        <v>Obec Benešov nad Černou, IČ 00245780</v>
      </c>
      <c r="E159" s="1062"/>
      <c r="F159" s="1062"/>
      <c r="G159" s="1062"/>
      <c r="H159" s="1063"/>
      <c r="K159" s="13" t="s">
        <v>85</v>
      </c>
      <c r="L159" s="13" t="s">
        <v>91</v>
      </c>
      <c r="M159" s="1061" t="str">
        <f>'Kalkulace a Porovnání'!M159</f>
        <v>Obec Benešov nad Černou, IČ 00245780</v>
      </c>
      <c r="N159" s="1062"/>
      <c r="O159" s="1062"/>
      <c r="P159" s="1062"/>
      <c r="Q159" s="1063"/>
      <c r="T159" s="13" t="s">
        <v>85</v>
      </c>
      <c r="U159" s="13" t="s">
        <v>91</v>
      </c>
      <c r="V159" s="1080" t="str">
        <f>'Kalkulace a Porovnání'!V159</f>
        <v>Obec Benešov nad Černou, IČ 00245780</v>
      </c>
      <c r="W159" s="1081"/>
      <c r="X159" s="1081"/>
      <c r="Y159" s="1081"/>
      <c r="Z159" s="1081"/>
      <c r="AA159" s="1081"/>
      <c r="AB159" s="1081"/>
      <c r="AC159" s="146"/>
      <c r="AD159" s="428"/>
      <c r="AG159" s="252"/>
      <c r="AH159" s="252"/>
      <c r="AI159" s="252"/>
      <c r="AJ159" s="252"/>
      <c r="AK159" s="428"/>
      <c r="AL159" s="146"/>
    </row>
    <row r="160" spans="2:38" x14ac:dyDescent="0.25">
      <c r="B160" s="13" t="s">
        <v>86</v>
      </c>
      <c r="C160" s="13" t="s">
        <v>93</v>
      </c>
      <c r="D160" s="1061" t="str">
        <f>'Kalkulace a Porovnání'!D160</f>
        <v>A</v>
      </c>
      <c r="E160" s="1062"/>
      <c r="F160" s="1062"/>
      <c r="G160" s="1062"/>
      <c r="H160" s="1063"/>
      <c r="K160" s="13" t="s">
        <v>86</v>
      </c>
      <c r="L160" s="13" t="s">
        <v>93</v>
      </c>
      <c r="M160" s="1061" t="str">
        <f>'Kalkulace a Porovnání'!M160</f>
        <v>A</v>
      </c>
      <c r="N160" s="1062"/>
      <c r="O160" s="1062"/>
      <c r="P160" s="1062"/>
      <c r="Q160" s="1063"/>
      <c r="T160" s="13" t="s">
        <v>86</v>
      </c>
      <c r="U160" s="13" t="s">
        <v>93</v>
      </c>
      <c r="V160" s="1080" t="str">
        <f>'Kalkulace a Porovnání'!V160</f>
        <v>A</v>
      </c>
      <c r="W160" s="1081"/>
      <c r="X160" s="1081"/>
      <c r="Y160" s="1081"/>
      <c r="Z160" s="1081"/>
      <c r="AA160" s="1081"/>
      <c r="AB160" s="1081"/>
      <c r="AC160" s="146"/>
      <c r="AD160" s="428"/>
      <c r="AG160" s="252"/>
      <c r="AH160" s="252"/>
      <c r="AI160" s="252"/>
      <c r="AJ160" s="252"/>
      <c r="AK160" s="428"/>
      <c r="AL160" s="146"/>
    </row>
    <row r="161" spans="2:38" x14ac:dyDescent="0.25">
      <c r="B161" s="13" t="s">
        <v>87</v>
      </c>
      <c r="C161" s="13" t="s">
        <v>92</v>
      </c>
      <c r="D161" s="1061">
        <f>'Kalkulace a Porovnání'!D161</f>
        <v>1</v>
      </c>
      <c r="E161" s="1062"/>
      <c r="F161" s="1062"/>
      <c r="G161" s="1062"/>
      <c r="H161" s="1063"/>
      <c r="K161" s="13" t="s">
        <v>87</v>
      </c>
      <c r="L161" s="13" t="s">
        <v>92</v>
      </c>
      <c r="M161" s="1061">
        <f>'Kalkulace a Porovnání'!M161</f>
        <v>1</v>
      </c>
      <c r="N161" s="1062"/>
      <c r="O161" s="1062"/>
      <c r="P161" s="1062"/>
      <c r="Q161" s="1063"/>
      <c r="T161" s="13" t="s">
        <v>87</v>
      </c>
      <c r="U161" s="13" t="s">
        <v>92</v>
      </c>
      <c r="V161" s="1080">
        <f>'Kalkulace a Porovnání'!V161</f>
        <v>1</v>
      </c>
      <c r="W161" s="1081"/>
      <c r="X161" s="1081"/>
      <c r="Y161" s="1081"/>
      <c r="Z161" s="1081"/>
      <c r="AA161" s="1081"/>
      <c r="AB161" s="1081"/>
      <c r="AC161" s="146"/>
      <c r="AD161" s="428"/>
      <c r="AG161" s="252"/>
      <c r="AH161" s="252"/>
      <c r="AI161" s="252"/>
      <c r="AJ161" s="252"/>
      <c r="AK161" s="428"/>
      <c r="AL161" s="146"/>
    </row>
    <row r="162" spans="2:38" x14ac:dyDescent="0.25">
      <c r="B162" s="13" t="s">
        <v>88</v>
      </c>
      <c r="C162" s="13" t="s">
        <v>94</v>
      </c>
      <c r="D162" s="1061" t="str">
        <f>'Kalkulace a Porovnání'!D162</f>
        <v>[vyplnit]</v>
      </c>
      <c r="E162" s="1062"/>
      <c r="F162" s="1062"/>
      <c r="G162" s="1062"/>
      <c r="H162" s="1063"/>
      <c r="K162" s="13" t="s">
        <v>88</v>
      </c>
      <c r="L162" s="13" t="s">
        <v>94</v>
      </c>
      <c r="M162" s="1061" t="str">
        <f>'Kalkulace a Porovnání'!M162</f>
        <v xml:space="preserve"> </v>
      </c>
      <c r="N162" s="1062"/>
      <c r="O162" s="1062"/>
      <c r="P162" s="1062"/>
      <c r="Q162" s="1063"/>
      <c r="T162" s="13" t="s">
        <v>88</v>
      </c>
      <c r="U162" s="13" t="s">
        <v>94</v>
      </c>
      <c r="V162" s="1080" t="str">
        <f>'Kalkulace a Porovnání'!V162</f>
        <v xml:space="preserve"> </v>
      </c>
      <c r="W162" s="1081"/>
      <c r="X162" s="1081"/>
      <c r="Y162" s="1081"/>
      <c r="Z162" s="1081"/>
      <c r="AA162" s="1081"/>
      <c r="AB162" s="1081"/>
      <c r="AC162" s="146"/>
      <c r="AD162" s="428"/>
      <c r="AG162" s="252"/>
      <c r="AH162" s="252"/>
      <c r="AI162" s="252"/>
      <c r="AJ162" s="252"/>
      <c r="AK162" s="428"/>
      <c r="AL162" s="146"/>
    </row>
    <row r="163" spans="2:38" x14ac:dyDescent="0.25">
      <c r="AC163" s="146"/>
      <c r="AD163" s="428"/>
      <c r="AG163" s="252"/>
      <c r="AH163" s="252"/>
      <c r="AI163" s="252"/>
      <c r="AJ163" s="252"/>
      <c r="AK163" s="428"/>
      <c r="AL163" s="146"/>
    </row>
    <row r="164" spans="2:38" x14ac:dyDescent="0.25">
      <c r="B164" s="1052" t="s">
        <v>5</v>
      </c>
      <c r="C164" s="884" t="s">
        <v>0</v>
      </c>
      <c r="D164" s="868"/>
      <c r="E164" s="868"/>
      <c r="F164" s="868"/>
      <c r="G164" s="868"/>
      <c r="H164" s="869"/>
      <c r="K164" s="1052" t="s">
        <v>5</v>
      </c>
      <c r="L164" s="884" t="s">
        <v>0</v>
      </c>
      <c r="M164" s="868"/>
      <c r="N164" s="868"/>
      <c r="O164" s="868"/>
      <c r="P164" s="868"/>
      <c r="Q164" s="869"/>
      <c r="T164" s="1052" t="s">
        <v>5</v>
      </c>
      <c r="U164" s="884" t="s">
        <v>0</v>
      </c>
      <c r="V164" s="868"/>
      <c r="W164" s="868"/>
      <c r="X164" s="868"/>
      <c r="Y164" s="868"/>
      <c r="Z164" s="868"/>
      <c r="AA164" s="868"/>
      <c r="AB164" s="869"/>
      <c r="AC164" s="146"/>
      <c r="AD164" s="428"/>
      <c r="AG164" s="252"/>
      <c r="AH164" s="252"/>
      <c r="AI164" s="252"/>
      <c r="AJ164" s="252"/>
      <c r="AK164" s="428"/>
      <c r="AL164" s="146"/>
    </row>
    <row r="165" spans="2:38" x14ac:dyDescent="0.25">
      <c r="B165" s="1053"/>
      <c r="C165" s="1052" t="s">
        <v>1</v>
      </c>
      <c r="D165" s="1065" t="s">
        <v>133</v>
      </c>
      <c r="E165" s="884" t="s">
        <v>3</v>
      </c>
      <c r="F165" s="868"/>
      <c r="G165" s="884" t="s">
        <v>4</v>
      </c>
      <c r="H165" s="869"/>
      <c r="K165" s="1053"/>
      <c r="L165" s="1052" t="s">
        <v>1</v>
      </c>
      <c r="M165" s="1065" t="s">
        <v>133</v>
      </c>
      <c r="N165" s="884" t="s">
        <v>3</v>
      </c>
      <c r="O165" s="868"/>
      <c r="P165" s="884" t="s">
        <v>4</v>
      </c>
      <c r="Q165" s="869"/>
      <c r="T165" s="1053"/>
      <c r="U165" s="1052" t="s">
        <v>1</v>
      </c>
      <c r="V165" s="1065" t="s">
        <v>133</v>
      </c>
      <c r="W165" s="884" t="s">
        <v>3</v>
      </c>
      <c r="X165" s="868"/>
      <c r="Y165" s="868"/>
      <c r="Z165" s="884" t="s">
        <v>4</v>
      </c>
      <c r="AA165" s="868"/>
      <c r="AB165" s="869"/>
      <c r="AC165" s="146"/>
      <c r="AD165" s="428"/>
      <c r="AG165" s="252"/>
      <c r="AH165" s="252"/>
      <c r="AI165" s="252"/>
      <c r="AJ165" s="252"/>
      <c r="AK165" s="428"/>
      <c r="AL165" s="146"/>
    </row>
    <row r="166" spans="2:38" x14ac:dyDescent="0.25">
      <c r="B166" s="1053"/>
      <c r="C166" s="1053"/>
      <c r="D166" s="1053"/>
      <c r="E166" s="28">
        <f>'Kalkulace a Porovnání'!E166</f>
        <v>2025</v>
      </c>
      <c r="F166" s="28">
        <f>'Kalkulace a Porovnání'!F166</f>
        <v>2026</v>
      </c>
      <c r="G166" s="28">
        <f>'Kalkulace a Porovnání'!G166</f>
        <v>2025</v>
      </c>
      <c r="H166" s="28">
        <f>'Kalkulace a Porovnání'!H166</f>
        <v>2026</v>
      </c>
      <c r="K166" s="1053"/>
      <c r="L166" s="1053"/>
      <c r="M166" s="1053"/>
      <c r="N166" s="28">
        <f>'Kalkulace a Porovnání'!N166</f>
        <v>2025</v>
      </c>
      <c r="O166" s="28">
        <f>'Kalkulace a Porovnání'!O166</f>
        <v>2026</v>
      </c>
      <c r="P166" s="28">
        <f>'Kalkulace a Porovnání'!P166</f>
        <v>2025</v>
      </c>
      <c r="Q166" s="28">
        <f>'Kalkulace a Porovnání'!Q166</f>
        <v>2026</v>
      </c>
      <c r="T166" s="1053"/>
      <c r="U166" s="1053"/>
      <c r="V166" s="1053"/>
      <c r="W166" s="28">
        <f>'Kalkulace a Porovnání'!W166</f>
        <v>2026</v>
      </c>
      <c r="X166" s="28">
        <f>'Kalkulace a Porovnání'!X166</f>
        <v>2026</v>
      </c>
      <c r="Y166" s="28">
        <f>'Kalkulace a Porovnání'!Y166</f>
        <v>2026</v>
      </c>
      <c r="Z166" s="28">
        <f>'Kalkulace a Porovnání'!Z166</f>
        <v>2026</v>
      </c>
      <c r="AA166" s="28">
        <f>'Kalkulace a Porovnání'!AA166</f>
        <v>2026</v>
      </c>
      <c r="AB166" s="28">
        <f>'Kalkulace a Porovnání'!AB166</f>
        <v>2026</v>
      </c>
      <c r="AC166" s="146"/>
      <c r="AD166" s="428"/>
      <c r="AG166" s="252"/>
      <c r="AH166" s="252"/>
      <c r="AI166" s="252"/>
      <c r="AJ166" s="252"/>
      <c r="AK166" s="428"/>
      <c r="AL166" s="146"/>
    </row>
    <row r="167" spans="2:38" x14ac:dyDescent="0.25">
      <c r="B167" s="1054"/>
      <c r="C167" s="1054"/>
      <c r="D167" s="1054"/>
      <c r="E167" s="7" t="s">
        <v>151</v>
      </c>
      <c r="F167" s="7" t="s">
        <v>98</v>
      </c>
      <c r="G167" s="7" t="s">
        <v>151</v>
      </c>
      <c r="H167" s="19" t="s">
        <v>98</v>
      </c>
      <c r="K167" s="1054"/>
      <c r="L167" s="1054"/>
      <c r="M167" s="1054"/>
      <c r="N167" s="7" t="s">
        <v>151</v>
      </c>
      <c r="O167" s="7" t="s">
        <v>98</v>
      </c>
      <c r="P167" s="7" t="s">
        <v>151</v>
      </c>
      <c r="Q167" s="19" t="s">
        <v>98</v>
      </c>
      <c r="T167" s="1054"/>
      <c r="U167" s="1054"/>
      <c r="V167" s="1054"/>
      <c r="W167" s="7" t="s">
        <v>150</v>
      </c>
      <c r="X167" s="7" t="s">
        <v>98</v>
      </c>
      <c r="Y167" s="7" t="s">
        <v>149</v>
      </c>
      <c r="Z167" s="7" t="s">
        <v>150</v>
      </c>
      <c r="AA167" s="7" t="s">
        <v>98</v>
      </c>
      <c r="AB167" s="19" t="s">
        <v>149</v>
      </c>
      <c r="AC167" s="146"/>
      <c r="AD167" s="428"/>
      <c r="AG167" s="252"/>
      <c r="AH167" s="252"/>
      <c r="AI167" s="252"/>
      <c r="AJ167" s="252"/>
      <c r="AK167" s="428"/>
      <c r="AL167" s="146"/>
    </row>
    <row r="168" spans="2:38" x14ac:dyDescent="0.25">
      <c r="B168" s="11">
        <v>1</v>
      </c>
      <c r="C168" s="11">
        <v>2</v>
      </c>
      <c r="D168" s="11" t="s">
        <v>95</v>
      </c>
      <c r="E168" s="11">
        <v>3</v>
      </c>
      <c r="F168" s="11">
        <v>4</v>
      </c>
      <c r="G168" s="11">
        <v>6</v>
      </c>
      <c r="H168" s="22">
        <v>7</v>
      </c>
      <c r="K168" s="11">
        <v>1</v>
      </c>
      <c r="L168" s="11">
        <v>2</v>
      </c>
      <c r="M168" s="11" t="s">
        <v>95</v>
      </c>
      <c r="N168" s="11">
        <v>3</v>
      </c>
      <c r="O168" s="11">
        <v>4</v>
      </c>
      <c r="P168" s="11">
        <v>6</v>
      </c>
      <c r="Q168" s="22">
        <v>7</v>
      </c>
      <c r="T168" s="11">
        <v>1</v>
      </c>
      <c r="U168" s="11">
        <v>2</v>
      </c>
      <c r="V168" s="11" t="s">
        <v>95</v>
      </c>
      <c r="W168" s="11">
        <v>3</v>
      </c>
      <c r="X168" s="11">
        <v>4</v>
      </c>
      <c r="Y168" s="11">
        <v>5</v>
      </c>
      <c r="Z168" s="11">
        <v>6</v>
      </c>
      <c r="AA168" s="11">
        <v>7</v>
      </c>
      <c r="AB168" s="22">
        <v>8</v>
      </c>
      <c r="AC168" s="146"/>
      <c r="AD168" s="428"/>
      <c r="AG168" s="252"/>
      <c r="AH168" s="252"/>
      <c r="AI168" s="252"/>
      <c r="AJ168" s="252"/>
      <c r="AK168" s="428"/>
      <c r="AL168" s="146"/>
    </row>
    <row r="169" spans="2:38" x14ac:dyDescent="0.25">
      <c r="B169" s="9" t="s">
        <v>8</v>
      </c>
      <c r="C169" s="10" t="s">
        <v>9</v>
      </c>
      <c r="D169" s="11" t="s">
        <v>10</v>
      </c>
      <c r="E169" s="41">
        <f>'Kalkulace a Porovnání'!E169</f>
        <v>0</v>
      </c>
      <c r="F169" s="41">
        <f>'Kalkulace a Porovnání'!F169</f>
        <v>0</v>
      </c>
      <c r="G169" s="41">
        <f>'Kalkulace a Porovnání'!G169</f>
        <v>0</v>
      </c>
      <c r="H169" s="86">
        <f>'Kalkulace a Porovnání'!H169</f>
        <v>0</v>
      </c>
      <c r="K169" s="9" t="s">
        <v>8</v>
      </c>
      <c r="L169" s="10" t="s">
        <v>9</v>
      </c>
      <c r="M169" s="11" t="s">
        <v>10</v>
      </c>
      <c r="N169" s="41">
        <f>'Kalkulace a Porovnání'!N169</f>
        <v>0</v>
      </c>
      <c r="O169" s="41">
        <f>'Kalkulace a Porovnání'!O169</f>
        <v>0</v>
      </c>
      <c r="P169" s="41">
        <f>'Kalkulace a Porovnání'!P169</f>
        <v>0</v>
      </c>
      <c r="Q169" s="86">
        <f>'Kalkulace a Porovnání'!Q169</f>
        <v>0</v>
      </c>
      <c r="T169" s="9" t="s">
        <v>8</v>
      </c>
      <c r="U169" s="10" t="s">
        <v>9</v>
      </c>
      <c r="V169" s="11" t="s">
        <v>10</v>
      </c>
      <c r="W169" s="41">
        <f>'Kalkulace a Porovnání'!W169</f>
        <v>0</v>
      </c>
      <c r="X169" s="41">
        <f>'Kalkulace a Porovnání'!X169</f>
        <v>0</v>
      </c>
      <c r="Y169" s="41">
        <f>'Kalkulace a Porovnání'!Y169</f>
        <v>0</v>
      </c>
      <c r="Z169" s="41">
        <f>'Kalkulace a Porovnání'!Z169</f>
        <v>0</v>
      </c>
      <c r="AA169" s="41">
        <f>'Kalkulace a Porovnání'!AA169</f>
        <v>0</v>
      </c>
      <c r="AB169" s="86">
        <f>'Kalkulace a Porovnání'!AB169</f>
        <v>0</v>
      </c>
      <c r="AC169" s="146"/>
      <c r="AD169" s="428"/>
      <c r="AG169" s="252"/>
      <c r="AH169" s="252"/>
      <c r="AI169" s="252"/>
      <c r="AJ169" s="252"/>
      <c r="AK169" s="428"/>
      <c r="AL169" s="146"/>
    </row>
    <row r="170" spans="2:38" x14ac:dyDescent="0.25">
      <c r="B170" s="12" t="s">
        <v>11</v>
      </c>
      <c r="C170" s="13" t="s">
        <v>12</v>
      </c>
      <c r="D170" s="3" t="s">
        <v>10</v>
      </c>
      <c r="E170" s="44">
        <f>'Kalkulace a Porovnání'!E170</f>
        <v>0</v>
      </c>
      <c r="F170" s="44">
        <f>'Kalkulace a Porovnání'!F170</f>
        <v>0</v>
      </c>
      <c r="G170" s="44">
        <f>'Kalkulace a Porovnání'!G170</f>
        <v>0</v>
      </c>
      <c r="H170" s="30">
        <f>'Kalkulace a Porovnání'!H170</f>
        <v>0</v>
      </c>
      <c r="K170" s="12" t="s">
        <v>11</v>
      </c>
      <c r="L170" s="13" t="s">
        <v>12</v>
      </c>
      <c r="M170" s="3" t="s">
        <v>10</v>
      </c>
      <c r="N170" s="44">
        <f>'Kalkulace a Porovnání'!N170</f>
        <v>0</v>
      </c>
      <c r="O170" s="44">
        <f>'Kalkulace a Porovnání'!O170</f>
        <v>0</v>
      </c>
      <c r="P170" s="44">
        <f>'Kalkulace a Porovnání'!P170</f>
        <v>0</v>
      </c>
      <c r="Q170" s="30">
        <f>'Kalkulace a Porovnání'!Q170</f>
        <v>0</v>
      </c>
      <c r="T170" s="12" t="s">
        <v>11</v>
      </c>
      <c r="U170" s="13" t="s">
        <v>12</v>
      </c>
      <c r="V170" s="3" t="s">
        <v>10</v>
      </c>
      <c r="W170" s="44">
        <f>'Kalkulace a Porovnání'!W170</f>
        <v>0</v>
      </c>
      <c r="X170" s="44">
        <f>'Kalkulace a Porovnání'!X170</f>
        <v>0</v>
      </c>
      <c r="Y170" s="44">
        <f>'Kalkulace a Porovnání'!Y170</f>
        <v>0</v>
      </c>
      <c r="Z170" s="44">
        <f>'Kalkulace a Porovnání'!Z170</f>
        <v>0</v>
      </c>
      <c r="AA170" s="44">
        <f>'Kalkulace a Porovnání'!AA170</f>
        <v>0</v>
      </c>
      <c r="AB170" s="30">
        <f>'Kalkulace a Porovnání'!AB170</f>
        <v>0</v>
      </c>
      <c r="AC170" s="146"/>
      <c r="AD170" s="428"/>
      <c r="AG170" s="252"/>
      <c r="AH170" s="252"/>
      <c r="AI170" s="252"/>
      <c r="AJ170" s="252"/>
      <c r="AK170" s="428"/>
      <c r="AL170" s="146"/>
    </row>
    <row r="171" spans="2:38" x14ac:dyDescent="0.25">
      <c r="B171" s="12" t="s">
        <v>13</v>
      </c>
      <c r="C171" s="12" t="s">
        <v>14</v>
      </c>
      <c r="D171" s="3" t="s">
        <v>10</v>
      </c>
      <c r="E171" s="44">
        <f>'Kalkulace a Porovnání'!E171</f>
        <v>0</v>
      </c>
      <c r="F171" s="44">
        <f>'Kalkulace a Porovnání'!F171</f>
        <v>0</v>
      </c>
      <c r="G171" s="44">
        <f>'Kalkulace a Porovnání'!G171</f>
        <v>0</v>
      </c>
      <c r="H171" s="30">
        <f>'Kalkulace a Porovnání'!H171</f>
        <v>0</v>
      </c>
      <c r="K171" s="12" t="s">
        <v>13</v>
      </c>
      <c r="L171" s="12" t="s">
        <v>14</v>
      </c>
      <c r="M171" s="3" t="s">
        <v>10</v>
      </c>
      <c r="N171" s="44">
        <f>'Kalkulace a Porovnání'!N171</f>
        <v>0</v>
      </c>
      <c r="O171" s="44">
        <f>'Kalkulace a Porovnání'!O171</f>
        <v>0</v>
      </c>
      <c r="P171" s="44">
        <f>'Kalkulace a Porovnání'!P171</f>
        <v>0</v>
      </c>
      <c r="Q171" s="30">
        <f>'Kalkulace a Porovnání'!Q171</f>
        <v>0</v>
      </c>
      <c r="T171" s="12" t="s">
        <v>13</v>
      </c>
      <c r="U171" s="12" t="s">
        <v>14</v>
      </c>
      <c r="V171" s="3" t="s">
        <v>10</v>
      </c>
      <c r="W171" s="44">
        <f>'Kalkulace a Porovnání'!W171</f>
        <v>0</v>
      </c>
      <c r="X171" s="44">
        <f>'Kalkulace a Porovnání'!X171</f>
        <v>0</v>
      </c>
      <c r="Y171" s="44">
        <f>'Kalkulace a Porovnání'!Y171</f>
        <v>0</v>
      </c>
      <c r="Z171" s="44">
        <f>'Kalkulace a Porovnání'!Z171</f>
        <v>0</v>
      </c>
      <c r="AA171" s="44">
        <f>'Kalkulace a Porovnání'!AA171</f>
        <v>0</v>
      </c>
      <c r="AB171" s="30">
        <f>'Kalkulace a Porovnání'!AB171</f>
        <v>0</v>
      </c>
      <c r="AC171" s="146"/>
      <c r="AD171" s="428"/>
      <c r="AG171" s="252"/>
      <c r="AH171" s="252"/>
      <c r="AI171" s="252"/>
      <c r="AJ171" s="252"/>
      <c r="AK171" s="428"/>
      <c r="AL171" s="146"/>
    </row>
    <row r="172" spans="2:38" x14ac:dyDescent="0.25">
      <c r="B172" s="12" t="s">
        <v>15</v>
      </c>
      <c r="C172" s="13" t="s">
        <v>16</v>
      </c>
      <c r="D172" s="3" t="s">
        <v>10</v>
      </c>
      <c r="E172" s="44">
        <f>'Kalkulace a Porovnání'!E172</f>
        <v>0</v>
      </c>
      <c r="F172" s="44">
        <f>'Kalkulace a Porovnání'!F172</f>
        <v>0</v>
      </c>
      <c r="G172" s="44">
        <f>'Kalkulace a Porovnání'!G172</f>
        <v>0</v>
      </c>
      <c r="H172" s="30">
        <f>'Kalkulace a Porovnání'!H172</f>
        <v>0</v>
      </c>
      <c r="K172" s="12" t="s">
        <v>15</v>
      </c>
      <c r="L172" s="13" t="s">
        <v>16</v>
      </c>
      <c r="M172" s="3" t="s">
        <v>10</v>
      </c>
      <c r="N172" s="44">
        <f>'Kalkulace a Porovnání'!N172</f>
        <v>0</v>
      </c>
      <c r="O172" s="44">
        <f>'Kalkulace a Porovnání'!O172</f>
        <v>0</v>
      </c>
      <c r="P172" s="44">
        <f>'Kalkulace a Porovnání'!P172</f>
        <v>0</v>
      </c>
      <c r="Q172" s="30">
        <f>'Kalkulace a Porovnání'!Q172</f>
        <v>0</v>
      </c>
      <c r="T172" s="12" t="s">
        <v>15</v>
      </c>
      <c r="U172" s="13" t="s">
        <v>16</v>
      </c>
      <c r="V172" s="3" t="s">
        <v>10</v>
      </c>
      <c r="W172" s="44">
        <f>'Kalkulace a Porovnání'!W172</f>
        <v>0</v>
      </c>
      <c r="X172" s="44">
        <f>'Kalkulace a Porovnání'!X172</f>
        <v>0</v>
      </c>
      <c r="Y172" s="44">
        <f>'Kalkulace a Porovnání'!Y172</f>
        <v>0</v>
      </c>
      <c r="Z172" s="44">
        <f>'Kalkulace a Porovnání'!Z172</f>
        <v>0</v>
      </c>
      <c r="AA172" s="44">
        <f>'Kalkulace a Porovnání'!AA172</f>
        <v>0</v>
      </c>
      <c r="AB172" s="30">
        <f>'Kalkulace a Porovnání'!AB172</f>
        <v>0</v>
      </c>
      <c r="AC172" s="146"/>
      <c r="AD172" s="428"/>
      <c r="AG172" s="252"/>
      <c r="AH172" s="252"/>
      <c r="AI172" s="252"/>
      <c r="AJ172" s="252"/>
      <c r="AK172" s="428"/>
      <c r="AL172" s="146"/>
    </row>
    <row r="173" spans="2:38" x14ac:dyDescent="0.25">
      <c r="B173" s="12" t="s">
        <v>17</v>
      </c>
      <c r="C173" s="13" t="s">
        <v>18</v>
      </c>
      <c r="D173" s="3" t="s">
        <v>10</v>
      </c>
      <c r="E173" s="44">
        <f>'Kalkulace a Porovnání'!E173</f>
        <v>0</v>
      </c>
      <c r="F173" s="44">
        <f>'Kalkulace a Porovnání'!F173</f>
        <v>0</v>
      </c>
      <c r="G173" s="44">
        <f>'Kalkulace a Porovnání'!G173</f>
        <v>0</v>
      </c>
      <c r="H173" s="30">
        <f>'Kalkulace a Porovnání'!H173</f>
        <v>0</v>
      </c>
      <c r="K173" s="12" t="s">
        <v>17</v>
      </c>
      <c r="L173" s="13" t="s">
        <v>18</v>
      </c>
      <c r="M173" s="3" t="s">
        <v>10</v>
      </c>
      <c r="N173" s="44">
        <f>'Kalkulace a Porovnání'!N173</f>
        <v>0</v>
      </c>
      <c r="O173" s="44">
        <f>'Kalkulace a Porovnání'!O173</f>
        <v>0</v>
      </c>
      <c r="P173" s="44">
        <f>'Kalkulace a Porovnání'!P173</f>
        <v>0</v>
      </c>
      <c r="Q173" s="30">
        <f>'Kalkulace a Porovnání'!Q173</f>
        <v>0</v>
      </c>
      <c r="T173" s="12" t="s">
        <v>17</v>
      </c>
      <c r="U173" s="13" t="s">
        <v>18</v>
      </c>
      <c r="V173" s="3" t="s">
        <v>10</v>
      </c>
      <c r="W173" s="44">
        <f>'Kalkulace a Porovnání'!W173</f>
        <v>0</v>
      </c>
      <c r="X173" s="44">
        <f>'Kalkulace a Porovnání'!X173</f>
        <v>0</v>
      </c>
      <c r="Y173" s="44">
        <f>'Kalkulace a Porovnání'!Y173</f>
        <v>0</v>
      </c>
      <c r="Z173" s="44">
        <f>'Kalkulace a Porovnání'!Z173</f>
        <v>0</v>
      </c>
      <c r="AA173" s="44">
        <f>'Kalkulace a Porovnání'!AA173</f>
        <v>0</v>
      </c>
      <c r="AB173" s="30">
        <f>'Kalkulace a Porovnání'!AB173</f>
        <v>0</v>
      </c>
      <c r="AC173" s="146"/>
      <c r="AD173" s="428"/>
      <c r="AG173" s="252"/>
      <c r="AH173" s="252"/>
      <c r="AI173" s="252"/>
      <c r="AJ173" s="252"/>
      <c r="AK173" s="428"/>
      <c r="AL173" s="146"/>
    </row>
    <row r="174" spans="2:38" x14ac:dyDescent="0.25">
      <c r="B174" s="9" t="s">
        <v>19</v>
      </c>
      <c r="C174" s="10" t="s">
        <v>20</v>
      </c>
      <c r="D174" s="11" t="s">
        <v>10</v>
      </c>
      <c r="E174" s="41">
        <f>'Kalkulace a Porovnání'!E174</f>
        <v>0</v>
      </c>
      <c r="F174" s="41">
        <f>'Kalkulace a Porovnání'!F174</f>
        <v>0</v>
      </c>
      <c r="G174" s="41">
        <f>'Kalkulace a Porovnání'!G174</f>
        <v>0</v>
      </c>
      <c r="H174" s="86">
        <f>'Kalkulace a Porovnání'!H174</f>
        <v>0</v>
      </c>
      <c r="K174" s="9" t="s">
        <v>19</v>
      </c>
      <c r="L174" s="10" t="s">
        <v>20</v>
      </c>
      <c r="M174" s="11" t="s">
        <v>10</v>
      </c>
      <c r="N174" s="41">
        <f>'Kalkulace a Porovnání'!N174</f>
        <v>0</v>
      </c>
      <c r="O174" s="41">
        <f>'Kalkulace a Porovnání'!O174</f>
        <v>0</v>
      </c>
      <c r="P174" s="41">
        <f>'Kalkulace a Porovnání'!P174</f>
        <v>0</v>
      </c>
      <c r="Q174" s="86">
        <f>'Kalkulace a Porovnání'!Q174</f>
        <v>0</v>
      </c>
      <c r="T174" s="9" t="s">
        <v>19</v>
      </c>
      <c r="U174" s="10" t="s">
        <v>20</v>
      </c>
      <c r="V174" s="11" t="s">
        <v>10</v>
      </c>
      <c r="W174" s="41">
        <f>'Kalkulace a Porovnání'!W174</f>
        <v>0</v>
      </c>
      <c r="X174" s="41">
        <f>'Kalkulace a Porovnání'!X174</f>
        <v>0</v>
      </c>
      <c r="Y174" s="41">
        <f>'Kalkulace a Porovnání'!Y174</f>
        <v>0</v>
      </c>
      <c r="Z174" s="41">
        <f>'Kalkulace a Porovnání'!Z174</f>
        <v>0</v>
      </c>
      <c r="AA174" s="41">
        <f>'Kalkulace a Porovnání'!AA174</f>
        <v>0</v>
      </c>
      <c r="AB174" s="86">
        <f>'Kalkulace a Porovnání'!AB174</f>
        <v>0</v>
      </c>
      <c r="AC174" s="146"/>
      <c r="AD174" s="428"/>
      <c r="AG174" s="252"/>
      <c r="AH174" s="252"/>
      <c r="AI174" s="252"/>
      <c r="AJ174" s="252"/>
      <c r="AK174" s="428"/>
      <c r="AL174" s="146"/>
    </row>
    <row r="175" spans="2:38" x14ac:dyDescent="0.25">
      <c r="B175" s="12" t="s">
        <v>21</v>
      </c>
      <c r="C175" s="12" t="s">
        <v>22</v>
      </c>
      <c r="D175" s="3" t="s">
        <v>10</v>
      </c>
      <c r="E175" s="44">
        <f>'Kalkulace a Porovnání'!E175</f>
        <v>0</v>
      </c>
      <c r="F175" s="44">
        <f>'Kalkulace a Porovnání'!F175</f>
        <v>0</v>
      </c>
      <c r="G175" s="44">
        <f>'Kalkulace a Porovnání'!G175</f>
        <v>0</v>
      </c>
      <c r="H175" s="30">
        <f>'Kalkulace a Porovnání'!H175</f>
        <v>0</v>
      </c>
      <c r="K175" s="12" t="s">
        <v>21</v>
      </c>
      <c r="L175" s="12" t="s">
        <v>22</v>
      </c>
      <c r="M175" s="3" t="s">
        <v>10</v>
      </c>
      <c r="N175" s="44">
        <f>'Kalkulace a Porovnání'!N175</f>
        <v>0</v>
      </c>
      <c r="O175" s="44">
        <f>'Kalkulace a Porovnání'!O175</f>
        <v>0</v>
      </c>
      <c r="P175" s="44">
        <f>'Kalkulace a Porovnání'!P175</f>
        <v>0</v>
      </c>
      <c r="Q175" s="30">
        <f>'Kalkulace a Porovnání'!Q175</f>
        <v>0</v>
      </c>
      <c r="T175" s="12" t="s">
        <v>21</v>
      </c>
      <c r="U175" s="12" t="s">
        <v>22</v>
      </c>
      <c r="V175" s="3" t="s">
        <v>10</v>
      </c>
      <c r="W175" s="44">
        <f>'Kalkulace a Porovnání'!W175</f>
        <v>0</v>
      </c>
      <c r="X175" s="44">
        <f>'Kalkulace a Porovnání'!X175</f>
        <v>0</v>
      </c>
      <c r="Y175" s="44">
        <f>'Kalkulace a Porovnání'!Y175</f>
        <v>0</v>
      </c>
      <c r="Z175" s="44">
        <f>'Kalkulace a Porovnání'!Z175</f>
        <v>0</v>
      </c>
      <c r="AA175" s="44">
        <f>'Kalkulace a Porovnání'!AA175</f>
        <v>0</v>
      </c>
      <c r="AB175" s="30">
        <f>'Kalkulace a Porovnání'!AB175</f>
        <v>0</v>
      </c>
      <c r="AC175" s="146"/>
      <c r="AD175" s="428"/>
      <c r="AG175" s="252"/>
      <c r="AH175" s="252"/>
      <c r="AI175" s="252"/>
      <c r="AJ175" s="252"/>
      <c r="AK175" s="428"/>
      <c r="AL175" s="146"/>
    </row>
    <row r="176" spans="2:38" x14ac:dyDescent="0.25">
      <c r="B176" s="12" t="s">
        <v>23</v>
      </c>
      <c r="C176" s="12" t="s">
        <v>24</v>
      </c>
      <c r="D176" s="3" t="s">
        <v>10</v>
      </c>
      <c r="E176" s="44">
        <f>'Kalkulace a Porovnání'!E176</f>
        <v>0</v>
      </c>
      <c r="F176" s="44">
        <f>'Kalkulace a Porovnání'!F176</f>
        <v>0</v>
      </c>
      <c r="G176" s="44">
        <f>'Kalkulace a Porovnání'!G176</f>
        <v>0</v>
      </c>
      <c r="H176" s="30">
        <f>'Kalkulace a Porovnání'!H176</f>
        <v>0</v>
      </c>
      <c r="K176" s="12" t="s">
        <v>23</v>
      </c>
      <c r="L176" s="12" t="s">
        <v>24</v>
      </c>
      <c r="M176" s="3" t="s">
        <v>10</v>
      </c>
      <c r="N176" s="44">
        <f>'Kalkulace a Porovnání'!N176</f>
        <v>0</v>
      </c>
      <c r="O176" s="44">
        <f>'Kalkulace a Porovnání'!O176</f>
        <v>0</v>
      </c>
      <c r="P176" s="44">
        <f>'Kalkulace a Porovnání'!P176</f>
        <v>0</v>
      </c>
      <c r="Q176" s="30">
        <f>'Kalkulace a Porovnání'!Q176</f>
        <v>0</v>
      </c>
      <c r="T176" s="12" t="s">
        <v>23</v>
      </c>
      <c r="U176" s="12" t="s">
        <v>24</v>
      </c>
      <c r="V176" s="3" t="s">
        <v>10</v>
      </c>
      <c r="W176" s="44">
        <f>'Kalkulace a Porovnání'!W176</f>
        <v>0</v>
      </c>
      <c r="X176" s="44">
        <f>'Kalkulace a Porovnání'!X176</f>
        <v>0</v>
      </c>
      <c r="Y176" s="44">
        <f>'Kalkulace a Porovnání'!Y176</f>
        <v>0</v>
      </c>
      <c r="Z176" s="44">
        <f>'Kalkulace a Porovnání'!Z176</f>
        <v>0</v>
      </c>
      <c r="AA176" s="44">
        <f>'Kalkulace a Porovnání'!AA176</f>
        <v>0</v>
      </c>
      <c r="AB176" s="30">
        <f>'Kalkulace a Porovnání'!AB176</f>
        <v>0</v>
      </c>
      <c r="AC176" s="146"/>
      <c r="AD176" s="428"/>
      <c r="AG176" s="252"/>
      <c r="AH176" s="252"/>
      <c r="AI176" s="252"/>
      <c r="AJ176" s="252"/>
      <c r="AK176" s="428"/>
      <c r="AL176" s="146"/>
    </row>
    <row r="177" spans="2:38" x14ac:dyDescent="0.25">
      <c r="B177" s="9" t="s">
        <v>25</v>
      </c>
      <c r="C177" s="10" t="s">
        <v>400</v>
      </c>
      <c r="D177" s="11" t="s">
        <v>10</v>
      </c>
      <c r="E177" s="41">
        <f>'Kalkulace a Porovnání'!E177</f>
        <v>0</v>
      </c>
      <c r="F177" s="41">
        <f>'Kalkulace a Porovnání'!F177</f>
        <v>0</v>
      </c>
      <c r="G177" s="41">
        <f>'Kalkulace a Porovnání'!G177</f>
        <v>0</v>
      </c>
      <c r="H177" s="86">
        <f>'Kalkulace a Porovnání'!H177</f>
        <v>0</v>
      </c>
      <c r="K177" s="9" t="s">
        <v>25</v>
      </c>
      <c r="L177" s="10" t="s">
        <v>400</v>
      </c>
      <c r="M177" s="11" t="s">
        <v>10</v>
      </c>
      <c r="N177" s="41">
        <f>'Kalkulace a Porovnání'!N177</f>
        <v>0</v>
      </c>
      <c r="O177" s="41">
        <f>'Kalkulace a Porovnání'!O177</f>
        <v>0</v>
      </c>
      <c r="P177" s="41">
        <f>'Kalkulace a Porovnání'!P177</f>
        <v>0</v>
      </c>
      <c r="Q177" s="86">
        <f>'Kalkulace a Porovnání'!Q177</f>
        <v>0</v>
      </c>
      <c r="T177" s="9" t="s">
        <v>25</v>
      </c>
      <c r="U177" s="10" t="s">
        <v>400</v>
      </c>
      <c r="V177" s="11" t="s">
        <v>10</v>
      </c>
      <c r="W177" s="41">
        <f>'Kalkulace a Porovnání'!W177</f>
        <v>0</v>
      </c>
      <c r="X177" s="41">
        <f>'Kalkulace a Porovnání'!X177</f>
        <v>0</v>
      </c>
      <c r="Y177" s="41">
        <f>'Kalkulace a Porovnání'!Y177</f>
        <v>0</v>
      </c>
      <c r="Z177" s="41">
        <f>'Kalkulace a Porovnání'!Z177</f>
        <v>0</v>
      </c>
      <c r="AA177" s="41">
        <f>'Kalkulace a Porovnání'!AA177</f>
        <v>0</v>
      </c>
      <c r="AB177" s="86">
        <f>'Kalkulace a Porovnání'!AB177</f>
        <v>0</v>
      </c>
      <c r="AC177" s="146"/>
      <c r="AD177" s="428"/>
      <c r="AG177" s="252"/>
      <c r="AH177" s="252"/>
      <c r="AI177" s="252"/>
      <c r="AJ177" s="252"/>
      <c r="AK177" s="428"/>
      <c r="AL177" s="146"/>
    </row>
    <row r="178" spans="2:38" x14ac:dyDescent="0.25">
      <c r="B178" s="12" t="s">
        <v>26</v>
      </c>
      <c r="C178" s="13" t="s">
        <v>390</v>
      </c>
      <c r="D178" s="3" t="s">
        <v>10</v>
      </c>
      <c r="E178" s="44">
        <f>'Kalkulace a Porovnání'!E178</f>
        <v>0</v>
      </c>
      <c r="F178" s="44">
        <f>'Kalkulace a Porovnání'!F178</f>
        <v>0</v>
      </c>
      <c r="G178" s="44">
        <f>'Kalkulace a Porovnání'!G178</f>
        <v>0</v>
      </c>
      <c r="H178" s="30">
        <f>'Kalkulace a Porovnání'!H178</f>
        <v>0</v>
      </c>
      <c r="K178" s="12" t="s">
        <v>26</v>
      </c>
      <c r="L178" s="13" t="s">
        <v>390</v>
      </c>
      <c r="M178" s="3" t="s">
        <v>10</v>
      </c>
      <c r="N178" s="44">
        <f>'Kalkulace a Porovnání'!N178</f>
        <v>0</v>
      </c>
      <c r="O178" s="44">
        <f>'Kalkulace a Porovnání'!O178</f>
        <v>0</v>
      </c>
      <c r="P178" s="44">
        <f>'Kalkulace a Porovnání'!P178</f>
        <v>0</v>
      </c>
      <c r="Q178" s="30">
        <f>'Kalkulace a Porovnání'!Q178</f>
        <v>0</v>
      </c>
      <c r="T178" s="12" t="s">
        <v>26</v>
      </c>
      <c r="U178" s="13" t="s">
        <v>390</v>
      </c>
      <c r="V178" s="3" t="s">
        <v>10</v>
      </c>
      <c r="W178" s="44">
        <f>'Kalkulace a Porovnání'!W178</f>
        <v>0</v>
      </c>
      <c r="X178" s="44">
        <f>'Kalkulace a Porovnání'!X178</f>
        <v>0</v>
      </c>
      <c r="Y178" s="44">
        <f>'Kalkulace a Porovnání'!Y178</f>
        <v>0</v>
      </c>
      <c r="Z178" s="44">
        <f>'Kalkulace a Porovnání'!Z178</f>
        <v>0</v>
      </c>
      <c r="AA178" s="44">
        <f>'Kalkulace a Porovnání'!AA178</f>
        <v>0</v>
      </c>
      <c r="AB178" s="30">
        <f>'Kalkulace a Porovnání'!AB178</f>
        <v>0</v>
      </c>
      <c r="AC178" s="146"/>
      <c r="AD178" s="428"/>
      <c r="AG178" s="252"/>
      <c r="AH178" s="252"/>
      <c r="AI178" s="252"/>
      <c r="AJ178" s="252"/>
      <c r="AK178" s="428"/>
      <c r="AL178" s="146"/>
    </row>
    <row r="179" spans="2:38" x14ac:dyDescent="0.25">
      <c r="B179" s="12" t="s">
        <v>27</v>
      </c>
      <c r="C179" s="13" t="s">
        <v>401</v>
      </c>
      <c r="D179" s="3" t="s">
        <v>10</v>
      </c>
      <c r="E179" s="44">
        <f>'Kalkulace a Porovnání'!E179</f>
        <v>0</v>
      </c>
      <c r="F179" s="44">
        <f>'Kalkulace a Porovnání'!F179</f>
        <v>0</v>
      </c>
      <c r="G179" s="44">
        <f>'Kalkulace a Porovnání'!G179</f>
        <v>0</v>
      </c>
      <c r="H179" s="30">
        <f>'Kalkulace a Porovnání'!H179</f>
        <v>0</v>
      </c>
      <c r="K179" s="12" t="s">
        <v>27</v>
      </c>
      <c r="L179" s="13" t="s">
        <v>401</v>
      </c>
      <c r="M179" s="3" t="s">
        <v>10</v>
      </c>
      <c r="N179" s="44">
        <f>'Kalkulace a Porovnání'!N179</f>
        <v>0</v>
      </c>
      <c r="O179" s="44">
        <f>'Kalkulace a Porovnání'!O179</f>
        <v>0</v>
      </c>
      <c r="P179" s="44">
        <f>'Kalkulace a Porovnání'!P179</f>
        <v>0</v>
      </c>
      <c r="Q179" s="30">
        <f>'Kalkulace a Porovnání'!Q179</f>
        <v>0</v>
      </c>
      <c r="T179" s="12" t="s">
        <v>27</v>
      </c>
      <c r="U179" s="13" t="s">
        <v>401</v>
      </c>
      <c r="V179" s="3" t="s">
        <v>10</v>
      </c>
      <c r="W179" s="44">
        <f>'Kalkulace a Porovnání'!W179</f>
        <v>0</v>
      </c>
      <c r="X179" s="44">
        <f>'Kalkulace a Porovnání'!X179</f>
        <v>0</v>
      </c>
      <c r="Y179" s="44">
        <f>'Kalkulace a Porovnání'!Y179</f>
        <v>0</v>
      </c>
      <c r="Z179" s="44">
        <f>'Kalkulace a Porovnání'!Z179</f>
        <v>0</v>
      </c>
      <c r="AA179" s="44">
        <f>'Kalkulace a Porovnání'!AA179</f>
        <v>0</v>
      </c>
      <c r="AB179" s="30">
        <f>'Kalkulace a Porovnání'!AB179</f>
        <v>0</v>
      </c>
      <c r="AC179" s="146"/>
      <c r="AD179" s="428"/>
      <c r="AG179" s="252"/>
      <c r="AH179" s="252"/>
      <c r="AI179" s="252"/>
      <c r="AJ179" s="252"/>
      <c r="AK179" s="428"/>
      <c r="AL179" s="146"/>
    </row>
    <row r="180" spans="2:38" x14ac:dyDescent="0.25">
      <c r="B180" s="9" t="s">
        <v>28</v>
      </c>
      <c r="C180" s="10" t="s">
        <v>29</v>
      </c>
      <c r="D180" s="11" t="s">
        <v>10</v>
      </c>
      <c r="E180" s="41">
        <f>'Kalkulace a Porovnání'!E180</f>
        <v>0</v>
      </c>
      <c r="F180" s="41">
        <f>'Kalkulace a Porovnání'!F180</f>
        <v>0</v>
      </c>
      <c r="G180" s="41">
        <f>'Kalkulace a Porovnání'!G180</f>
        <v>0</v>
      </c>
      <c r="H180" s="86">
        <f>'Kalkulace a Porovnání'!H180</f>
        <v>0</v>
      </c>
      <c r="K180" s="9" t="s">
        <v>28</v>
      </c>
      <c r="L180" s="10" t="s">
        <v>29</v>
      </c>
      <c r="M180" s="11" t="s">
        <v>10</v>
      </c>
      <c r="N180" s="41">
        <f>'Kalkulace a Porovnání'!N180</f>
        <v>0</v>
      </c>
      <c r="O180" s="41">
        <f>'Kalkulace a Porovnání'!O180</f>
        <v>0</v>
      </c>
      <c r="P180" s="41">
        <f>'Kalkulace a Porovnání'!P180</f>
        <v>0</v>
      </c>
      <c r="Q180" s="86">
        <f>'Kalkulace a Porovnání'!Q180</f>
        <v>0</v>
      </c>
      <c r="T180" s="9" t="s">
        <v>28</v>
      </c>
      <c r="U180" s="10" t="s">
        <v>29</v>
      </c>
      <c r="V180" s="11" t="s">
        <v>10</v>
      </c>
      <c r="W180" s="41">
        <f>'Kalkulace a Porovnání'!W180</f>
        <v>0</v>
      </c>
      <c r="X180" s="41">
        <f>'Kalkulace a Porovnání'!X180</f>
        <v>0</v>
      </c>
      <c r="Y180" s="41">
        <f>'Kalkulace a Porovnání'!Y180</f>
        <v>0</v>
      </c>
      <c r="Z180" s="41">
        <f>'Kalkulace a Porovnání'!Z180</f>
        <v>0</v>
      </c>
      <c r="AA180" s="41">
        <f>'Kalkulace a Porovnání'!AA180</f>
        <v>0</v>
      </c>
      <c r="AB180" s="86">
        <f>'Kalkulace a Porovnání'!AB180</f>
        <v>0</v>
      </c>
      <c r="AC180" s="146"/>
      <c r="AD180" s="428"/>
      <c r="AG180" s="252"/>
      <c r="AH180" s="252"/>
      <c r="AI180" s="252"/>
      <c r="AJ180" s="252"/>
      <c r="AK180" s="428"/>
      <c r="AL180" s="146"/>
    </row>
    <row r="181" spans="2:38" x14ac:dyDescent="0.25">
      <c r="B181" s="12" t="s">
        <v>30</v>
      </c>
      <c r="C181" s="21" t="s">
        <v>381</v>
      </c>
      <c r="D181" s="3" t="s">
        <v>10</v>
      </c>
      <c r="E181" s="44">
        <f>'Kalkulace a Porovnání'!E181</f>
        <v>0</v>
      </c>
      <c r="F181" s="44">
        <f>'Kalkulace a Porovnání'!F181</f>
        <v>0</v>
      </c>
      <c r="G181" s="44">
        <f>'Kalkulace a Porovnání'!G181</f>
        <v>0</v>
      </c>
      <c r="H181" s="30">
        <f>'Kalkulace a Porovnání'!H181</f>
        <v>0</v>
      </c>
      <c r="K181" s="12" t="s">
        <v>30</v>
      </c>
      <c r="L181" s="21" t="s">
        <v>381</v>
      </c>
      <c r="M181" s="3" t="s">
        <v>10</v>
      </c>
      <c r="N181" s="44">
        <f>'Kalkulace a Porovnání'!N181</f>
        <v>0</v>
      </c>
      <c r="O181" s="44">
        <f>'Kalkulace a Porovnání'!O181</f>
        <v>0</v>
      </c>
      <c r="P181" s="44">
        <f>'Kalkulace a Porovnání'!P181</f>
        <v>0</v>
      </c>
      <c r="Q181" s="30">
        <f>'Kalkulace a Porovnání'!Q181</f>
        <v>0</v>
      </c>
      <c r="T181" s="12" t="s">
        <v>30</v>
      </c>
      <c r="U181" s="21" t="s">
        <v>381</v>
      </c>
      <c r="V181" s="3" t="s">
        <v>10</v>
      </c>
      <c r="W181" s="44">
        <f>'Kalkulace a Porovnání'!W181</f>
        <v>0</v>
      </c>
      <c r="X181" s="44">
        <f>'Kalkulace a Porovnání'!X181</f>
        <v>0</v>
      </c>
      <c r="Y181" s="44">
        <f>'Kalkulace a Porovnání'!Y181</f>
        <v>0</v>
      </c>
      <c r="Z181" s="44">
        <f>'Kalkulace a Porovnání'!Z181</f>
        <v>0</v>
      </c>
      <c r="AA181" s="44">
        <f>'Kalkulace a Porovnání'!AA181</f>
        <v>0</v>
      </c>
      <c r="AB181" s="30">
        <f>'Kalkulace a Porovnání'!AB181</f>
        <v>0</v>
      </c>
      <c r="AC181" s="146"/>
      <c r="AD181" s="428"/>
      <c r="AG181" s="428"/>
      <c r="AH181" s="428"/>
      <c r="AI181" s="252"/>
      <c r="AJ181" s="252"/>
      <c r="AK181" s="428"/>
      <c r="AL181" s="146"/>
    </row>
    <row r="182" spans="2:38" x14ac:dyDescent="0.25">
      <c r="B182" s="12" t="s">
        <v>32</v>
      </c>
      <c r="C182" s="13" t="s">
        <v>383</v>
      </c>
      <c r="D182" s="3" t="s">
        <v>10</v>
      </c>
      <c r="E182" s="44">
        <f>'Kalkulace a Porovnání'!E182</f>
        <v>0</v>
      </c>
      <c r="F182" s="44">
        <f>'Kalkulace a Porovnání'!F182</f>
        <v>0</v>
      </c>
      <c r="G182" s="44">
        <f>'Kalkulace a Porovnání'!G182</f>
        <v>0</v>
      </c>
      <c r="H182" s="30">
        <f>'Kalkulace a Porovnání'!H182</f>
        <v>0</v>
      </c>
      <c r="K182" s="12" t="s">
        <v>32</v>
      </c>
      <c r="L182" s="13" t="s">
        <v>383</v>
      </c>
      <c r="M182" s="3" t="s">
        <v>10</v>
      </c>
      <c r="N182" s="44">
        <f>'Kalkulace a Porovnání'!N182</f>
        <v>0</v>
      </c>
      <c r="O182" s="44">
        <f>'Kalkulace a Porovnání'!O182</f>
        <v>0</v>
      </c>
      <c r="P182" s="44">
        <f>'Kalkulace a Porovnání'!P182</f>
        <v>0</v>
      </c>
      <c r="Q182" s="30">
        <f>'Kalkulace a Porovnání'!Q182</f>
        <v>0</v>
      </c>
      <c r="T182" s="12" t="s">
        <v>32</v>
      </c>
      <c r="U182" s="13" t="s">
        <v>383</v>
      </c>
      <c r="V182" s="3" t="s">
        <v>10</v>
      </c>
      <c r="W182" s="44">
        <f>'Kalkulace a Porovnání'!W182</f>
        <v>0</v>
      </c>
      <c r="X182" s="44">
        <f>'Kalkulace a Porovnání'!X182</f>
        <v>0</v>
      </c>
      <c r="Y182" s="44">
        <f>'Kalkulace a Porovnání'!Y182</f>
        <v>0</v>
      </c>
      <c r="Z182" s="44">
        <f>'Kalkulace a Porovnání'!Z182</f>
        <v>0</v>
      </c>
      <c r="AA182" s="44">
        <f>'Kalkulace a Porovnání'!AA182</f>
        <v>0</v>
      </c>
      <c r="AB182" s="30">
        <f>'Kalkulace a Porovnání'!AB182</f>
        <v>0</v>
      </c>
      <c r="AC182" s="146"/>
      <c r="AD182" s="428"/>
      <c r="AG182" s="428"/>
      <c r="AH182" s="428"/>
      <c r="AI182" s="252"/>
      <c r="AJ182" s="252"/>
      <c r="AK182" s="428"/>
      <c r="AL182" s="146"/>
    </row>
    <row r="183" spans="2:38" x14ac:dyDescent="0.25">
      <c r="B183" s="12" t="s">
        <v>33</v>
      </c>
      <c r="C183" s="13" t="s">
        <v>382</v>
      </c>
      <c r="D183" s="3" t="s">
        <v>10</v>
      </c>
      <c r="E183" s="44">
        <f>'Kalkulace a Porovnání'!E183</f>
        <v>0</v>
      </c>
      <c r="F183" s="44">
        <f>'Kalkulace a Porovnání'!F183</f>
        <v>0</v>
      </c>
      <c r="G183" s="44">
        <f>'Kalkulace a Porovnání'!G183</f>
        <v>0</v>
      </c>
      <c r="H183" s="30">
        <f>'Kalkulace a Porovnání'!H183</f>
        <v>0</v>
      </c>
      <c r="K183" s="12" t="s">
        <v>33</v>
      </c>
      <c r="L183" s="13" t="s">
        <v>382</v>
      </c>
      <c r="M183" s="3" t="s">
        <v>10</v>
      </c>
      <c r="N183" s="44">
        <f>'Kalkulace a Porovnání'!N183</f>
        <v>0</v>
      </c>
      <c r="O183" s="44">
        <f>'Kalkulace a Porovnání'!O183</f>
        <v>0</v>
      </c>
      <c r="P183" s="44">
        <f>'Kalkulace a Porovnání'!P183</f>
        <v>0</v>
      </c>
      <c r="Q183" s="30">
        <f>'Kalkulace a Porovnání'!Q183</f>
        <v>0</v>
      </c>
      <c r="T183" s="12" t="s">
        <v>33</v>
      </c>
      <c r="U183" s="13" t="s">
        <v>382</v>
      </c>
      <c r="V183" s="3" t="s">
        <v>10</v>
      </c>
      <c r="W183" s="44">
        <f>'Kalkulace a Porovnání'!W183</f>
        <v>0</v>
      </c>
      <c r="X183" s="44">
        <f>'Kalkulace a Porovnání'!X183</f>
        <v>0</v>
      </c>
      <c r="Y183" s="44">
        <f>'Kalkulace a Porovnání'!Y183</f>
        <v>0</v>
      </c>
      <c r="Z183" s="44">
        <f>'Kalkulace a Porovnání'!Z183</f>
        <v>0</v>
      </c>
      <c r="AA183" s="44">
        <f>'Kalkulace a Porovnání'!AA183</f>
        <v>0</v>
      </c>
      <c r="AB183" s="30">
        <f>'Kalkulace a Porovnání'!AB183</f>
        <v>0</v>
      </c>
      <c r="AC183" s="146"/>
      <c r="AD183" s="428"/>
      <c r="AG183" s="252"/>
      <c r="AH183" s="252"/>
      <c r="AI183" s="252"/>
      <c r="AJ183" s="252"/>
      <c r="AK183" s="428"/>
      <c r="AL183" s="146"/>
    </row>
    <row r="184" spans="2:38" x14ac:dyDescent="0.25">
      <c r="B184" s="12" t="s">
        <v>34</v>
      </c>
      <c r="C184" s="21" t="s">
        <v>384</v>
      </c>
      <c r="D184" s="3" t="s">
        <v>10</v>
      </c>
      <c r="E184" s="44">
        <f>'Kalkulace a Porovnání'!E184</f>
        <v>0</v>
      </c>
      <c r="F184" s="44">
        <f>'Kalkulace a Porovnání'!F184</f>
        <v>0</v>
      </c>
      <c r="G184" s="44">
        <f>'Kalkulace a Porovnání'!G184</f>
        <v>0</v>
      </c>
      <c r="H184" s="30">
        <f>'Kalkulace a Porovnání'!H184</f>
        <v>0</v>
      </c>
      <c r="K184" s="12" t="s">
        <v>34</v>
      </c>
      <c r="L184" s="21" t="s">
        <v>384</v>
      </c>
      <c r="M184" s="3" t="s">
        <v>10</v>
      </c>
      <c r="N184" s="44">
        <f>'Kalkulace a Porovnání'!N184</f>
        <v>0</v>
      </c>
      <c r="O184" s="44">
        <f>'Kalkulace a Porovnání'!O184</f>
        <v>0</v>
      </c>
      <c r="P184" s="44">
        <f>'Kalkulace a Porovnání'!P184</f>
        <v>0</v>
      </c>
      <c r="Q184" s="30">
        <f>'Kalkulace a Porovnání'!Q184</f>
        <v>0</v>
      </c>
      <c r="T184" s="12" t="s">
        <v>34</v>
      </c>
      <c r="U184" s="21" t="s">
        <v>384</v>
      </c>
      <c r="V184" s="3" t="s">
        <v>10</v>
      </c>
      <c r="W184" s="44">
        <f>'Kalkulace a Porovnání'!W184</f>
        <v>0</v>
      </c>
      <c r="X184" s="44">
        <f>'Kalkulace a Porovnání'!X184</f>
        <v>0</v>
      </c>
      <c r="Y184" s="44">
        <f>'Kalkulace a Porovnání'!Y184</f>
        <v>0</v>
      </c>
      <c r="Z184" s="44">
        <f>'Kalkulace a Porovnání'!Z184</f>
        <v>0</v>
      </c>
      <c r="AA184" s="44">
        <f>'Kalkulace a Porovnání'!AA184</f>
        <v>0</v>
      </c>
      <c r="AB184" s="30">
        <f>'Kalkulace a Porovnání'!AB184</f>
        <v>0</v>
      </c>
      <c r="AC184" s="146"/>
      <c r="AD184" s="428"/>
      <c r="AG184" s="252"/>
      <c r="AH184" s="252"/>
      <c r="AI184" s="252"/>
      <c r="AJ184" s="252"/>
      <c r="AK184" s="428"/>
      <c r="AL184" s="146"/>
    </row>
    <row r="185" spans="2:38" x14ac:dyDescent="0.25">
      <c r="B185" s="9" t="s">
        <v>35</v>
      </c>
      <c r="C185" s="10" t="s">
        <v>387</v>
      </c>
      <c r="D185" s="11" t="s">
        <v>10</v>
      </c>
      <c r="E185" s="41">
        <f>'Kalkulace a Porovnání'!E185</f>
        <v>0</v>
      </c>
      <c r="F185" s="41">
        <f>'Kalkulace a Porovnání'!F185</f>
        <v>0</v>
      </c>
      <c r="G185" s="41">
        <f>'Kalkulace a Porovnání'!G185</f>
        <v>0</v>
      </c>
      <c r="H185" s="86">
        <f>'Kalkulace a Porovnání'!H185</f>
        <v>0</v>
      </c>
      <c r="K185" s="9" t="s">
        <v>35</v>
      </c>
      <c r="L185" s="10" t="s">
        <v>387</v>
      </c>
      <c r="M185" s="11" t="s">
        <v>10</v>
      </c>
      <c r="N185" s="41">
        <f>'Kalkulace a Porovnání'!N185</f>
        <v>0</v>
      </c>
      <c r="O185" s="41">
        <f>'Kalkulace a Porovnání'!O185</f>
        <v>0</v>
      </c>
      <c r="P185" s="41">
        <f>'Kalkulace a Porovnání'!P185</f>
        <v>0</v>
      </c>
      <c r="Q185" s="86">
        <f>'Kalkulace a Porovnání'!Q185</f>
        <v>0</v>
      </c>
      <c r="T185" s="9" t="s">
        <v>35</v>
      </c>
      <c r="U185" s="10" t="s">
        <v>387</v>
      </c>
      <c r="V185" s="11" t="s">
        <v>10</v>
      </c>
      <c r="W185" s="41">
        <f>'Kalkulace a Porovnání'!W185</f>
        <v>0</v>
      </c>
      <c r="X185" s="41">
        <f>'Kalkulace a Porovnání'!X185</f>
        <v>0</v>
      </c>
      <c r="Y185" s="41">
        <f>'Kalkulace a Porovnání'!Y185</f>
        <v>0</v>
      </c>
      <c r="Z185" s="41">
        <f>'Kalkulace a Porovnání'!Z185</f>
        <v>0</v>
      </c>
      <c r="AA185" s="41">
        <f>'Kalkulace a Porovnání'!AA185</f>
        <v>0</v>
      </c>
      <c r="AB185" s="86">
        <f>'Kalkulace a Porovnání'!AB185</f>
        <v>0</v>
      </c>
      <c r="AC185" s="146"/>
      <c r="AD185" s="428"/>
      <c r="AG185" s="429"/>
      <c r="AH185" s="429"/>
      <c r="AI185" s="252"/>
      <c r="AJ185" s="252"/>
      <c r="AK185" s="428"/>
      <c r="AL185" s="146"/>
    </row>
    <row r="186" spans="2:38" x14ac:dyDescent="0.25">
      <c r="B186" s="12" t="s">
        <v>37</v>
      </c>
      <c r="C186" s="13" t="s">
        <v>38</v>
      </c>
      <c r="D186" s="3" t="s">
        <v>10</v>
      </c>
      <c r="E186" s="44">
        <f>'Kalkulace a Porovnání'!E186</f>
        <v>0</v>
      </c>
      <c r="F186" s="44">
        <f>'Kalkulace a Porovnání'!F186</f>
        <v>0</v>
      </c>
      <c r="G186" s="44">
        <f>'Kalkulace a Porovnání'!G186</f>
        <v>0</v>
      </c>
      <c r="H186" s="30">
        <f>'Kalkulace a Porovnání'!H186</f>
        <v>0</v>
      </c>
      <c r="K186" s="12" t="s">
        <v>37</v>
      </c>
      <c r="L186" s="13" t="s">
        <v>38</v>
      </c>
      <c r="M186" s="3" t="s">
        <v>10</v>
      </c>
      <c r="N186" s="44">
        <f>'Kalkulace a Porovnání'!N186</f>
        <v>0</v>
      </c>
      <c r="O186" s="44">
        <f>'Kalkulace a Porovnání'!O186</f>
        <v>0</v>
      </c>
      <c r="P186" s="44">
        <f>'Kalkulace a Porovnání'!P186</f>
        <v>0</v>
      </c>
      <c r="Q186" s="30">
        <f>'Kalkulace a Porovnání'!Q186</f>
        <v>0</v>
      </c>
      <c r="T186" s="12" t="s">
        <v>37</v>
      </c>
      <c r="U186" s="13" t="s">
        <v>38</v>
      </c>
      <c r="V186" s="3" t="s">
        <v>10</v>
      </c>
      <c r="W186" s="44">
        <f>'Kalkulace a Porovnání'!W186</f>
        <v>0</v>
      </c>
      <c r="X186" s="44">
        <f>'Kalkulace a Porovnání'!X186</f>
        <v>0</v>
      </c>
      <c r="Y186" s="44">
        <f>'Kalkulace a Porovnání'!Y186</f>
        <v>0</v>
      </c>
      <c r="Z186" s="44">
        <f>'Kalkulace a Porovnání'!Z186</f>
        <v>0</v>
      </c>
      <c r="AA186" s="44">
        <f>'Kalkulace a Porovnání'!AA186</f>
        <v>0</v>
      </c>
      <c r="AB186" s="30">
        <f>'Kalkulace a Porovnání'!AB186</f>
        <v>0</v>
      </c>
      <c r="AC186" s="146"/>
      <c r="AD186" s="428"/>
      <c r="AG186" s="1119"/>
      <c r="AH186" s="1119"/>
      <c r="AI186" s="252"/>
      <c r="AJ186" s="252"/>
      <c r="AK186" s="428"/>
      <c r="AL186" s="146"/>
    </row>
    <row r="187" spans="2:38" x14ac:dyDescent="0.25">
      <c r="B187" s="12" t="s">
        <v>39</v>
      </c>
      <c r="C187" s="12" t="s">
        <v>40</v>
      </c>
      <c r="D187" s="3" t="s">
        <v>10</v>
      </c>
      <c r="E187" s="44">
        <f>'Kalkulace a Porovnání'!E187</f>
        <v>0</v>
      </c>
      <c r="F187" s="44">
        <f>'Kalkulace a Porovnání'!F187</f>
        <v>0</v>
      </c>
      <c r="G187" s="44">
        <f>'Kalkulace a Porovnání'!G187</f>
        <v>0</v>
      </c>
      <c r="H187" s="30">
        <f>'Kalkulace a Porovnání'!H187</f>
        <v>0</v>
      </c>
      <c r="K187" s="12" t="s">
        <v>39</v>
      </c>
      <c r="L187" s="12" t="s">
        <v>40</v>
      </c>
      <c r="M187" s="3" t="s">
        <v>10</v>
      </c>
      <c r="N187" s="44">
        <f>'Kalkulace a Porovnání'!N187</f>
        <v>0</v>
      </c>
      <c r="O187" s="44">
        <f>'Kalkulace a Porovnání'!O187</f>
        <v>0</v>
      </c>
      <c r="P187" s="44">
        <f>'Kalkulace a Porovnání'!P187</f>
        <v>0</v>
      </c>
      <c r="Q187" s="30">
        <f>'Kalkulace a Porovnání'!Q187</f>
        <v>0</v>
      </c>
      <c r="T187" s="12" t="s">
        <v>39</v>
      </c>
      <c r="U187" s="12" t="s">
        <v>40</v>
      </c>
      <c r="V187" s="3" t="s">
        <v>10</v>
      </c>
      <c r="W187" s="44">
        <f>'Kalkulace a Porovnání'!W187</f>
        <v>0</v>
      </c>
      <c r="X187" s="44">
        <f>'Kalkulace a Porovnání'!X187</f>
        <v>0</v>
      </c>
      <c r="Y187" s="44">
        <f>'Kalkulace a Porovnání'!Y187</f>
        <v>0</v>
      </c>
      <c r="Z187" s="44">
        <f>'Kalkulace a Porovnání'!Z187</f>
        <v>0</v>
      </c>
      <c r="AA187" s="44">
        <f>'Kalkulace a Porovnání'!AA187</f>
        <v>0</v>
      </c>
      <c r="AB187" s="30">
        <f>'Kalkulace a Porovnání'!AB187</f>
        <v>0</v>
      </c>
      <c r="AC187" s="146"/>
      <c r="AD187" s="428"/>
      <c r="AG187" s="1119"/>
      <c r="AH187" s="1119"/>
      <c r="AI187" s="252"/>
      <c r="AJ187" s="252"/>
      <c r="AK187" s="428"/>
      <c r="AL187" s="146"/>
    </row>
    <row r="188" spans="2:38" x14ac:dyDescent="0.25">
      <c r="B188" s="12" t="s">
        <v>41</v>
      </c>
      <c r="C188" s="13" t="s">
        <v>42</v>
      </c>
      <c r="D188" s="3" t="s">
        <v>10</v>
      </c>
      <c r="E188" s="44">
        <f>'Kalkulace a Porovnání'!E188</f>
        <v>0</v>
      </c>
      <c r="F188" s="44">
        <f>'Kalkulace a Porovnání'!F188</f>
        <v>0</v>
      </c>
      <c r="G188" s="44">
        <f>'Kalkulace a Porovnání'!G188</f>
        <v>0</v>
      </c>
      <c r="H188" s="30">
        <f>'Kalkulace a Porovnání'!H188</f>
        <v>0</v>
      </c>
      <c r="K188" s="12" t="s">
        <v>41</v>
      </c>
      <c r="L188" s="13" t="s">
        <v>42</v>
      </c>
      <c r="M188" s="3" t="s">
        <v>10</v>
      </c>
      <c r="N188" s="44">
        <f>'Kalkulace a Porovnání'!N188</f>
        <v>0</v>
      </c>
      <c r="O188" s="44">
        <f>'Kalkulace a Porovnání'!O188</f>
        <v>0</v>
      </c>
      <c r="P188" s="44">
        <f>'Kalkulace a Porovnání'!P188</f>
        <v>0</v>
      </c>
      <c r="Q188" s="30">
        <f>'Kalkulace a Porovnání'!Q188</f>
        <v>0</v>
      </c>
      <c r="T188" s="12" t="s">
        <v>41</v>
      </c>
      <c r="U188" s="13" t="s">
        <v>42</v>
      </c>
      <c r="V188" s="3" t="s">
        <v>10</v>
      </c>
      <c r="W188" s="44">
        <f>'Kalkulace a Porovnání'!W188</f>
        <v>0</v>
      </c>
      <c r="X188" s="44">
        <f>'Kalkulace a Porovnání'!X188</f>
        <v>0</v>
      </c>
      <c r="Y188" s="44">
        <f>'Kalkulace a Porovnání'!Y188</f>
        <v>0</v>
      </c>
      <c r="Z188" s="44">
        <f>'Kalkulace a Porovnání'!Z188</f>
        <v>0</v>
      </c>
      <c r="AA188" s="44">
        <f>'Kalkulace a Porovnání'!AA188</f>
        <v>0</v>
      </c>
      <c r="AB188" s="30">
        <f>'Kalkulace a Porovnání'!AB188</f>
        <v>0</v>
      </c>
      <c r="AC188" s="146"/>
      <c r="AD188" s="428"/>
      <c r="AG188" s="426"/>
      <c r="AH188" s="426"/>
      <c r="AI188" s="252"/>
      <c r="AJ188" s="252"/>
      <c r="AK188" s="428"/>
      <c r="AL188" s="146"/>
    </row>
    <row r="189" spans="2:38" x14ac:dyDescent="0.25">
      <c r="B189" s="9" t="s">
        <v>43</v>
      </c>
      <c r="C189" s="10" t="s">
        <v>44</v>
      </c>
      <c r="D189" s="11" t="s">
        <v>10</v>
      </c>
      <c r="E189" s="44">
        <f>'Kalkulace a Porovnání'!E189</f>
        <v>0</v>
      </c>
      <c r="F189" s="44">
        <f>'Kalkulace a Porovnání'!F189</f>
        <v>0</v>
      </c>
      <c r="G189" s="44">
        <f>'Kalkulace a Porovnání'!G189</f>
        <v>0</v>
      </c>
      <c r="H189" s="30">
        <f>'Kalkulace a Porovnání'!H189</f>
        <v>0</v>
      </c>
      <c r="K189" s="9" t="s">
        <v>43</v>
      </c>
      <c r="L189" s="10" t="s">
        <v>44</v>
      </c>
      <c r="M189" s="11" t="s">
        <v>10</v>
      </c>
      <c r="N189" s="44">
        <f>'Kalkulace a Porovnání'!N189</f>
        <v>0</v>
      </c>
      <c r="O189" s="44">
        <f>'Kalkulace a Porovnání'!O189</f>
        <v>0</v>
      </c>
      <c r="P189" s="44">
        <f>'Kalkulace a Porovnání'!P189</f>
        <v>0</v>
      </c>
      <c r="Q189" s="30">
        <f>'Kalkulace a Porovnání'!Q189</f>
        <v>0</v>
      </c>
      <c r="T189" s="9" t="s">
        <v>43</v>
      </c>
      <c r="U189" s="10" t="s">
        <v>44</v>
      </c>
      <c r="V189" s="11" t="s">
        <v>10</v>
      </c>
      <c r="W189" s="44">
        <f>'Kalkulace a Porovnání'!W189</f>
        <v>0</v>
      </c>
      <c r="X189" s="44">
        <f>'Kalkulace a Porovnání'!X189</f>
        <v>0</v>
      </c>
      <c r="Y189" s="44">
        <f>'Kalkulace a Porovnání'!Y189</f>
        <v>0</v>
      </c>
      <c r="Z189" s="44">
        <f>'Kalkulace a Porovnání'!Z189</f>
        <v>0</v>
      </c>
      <c r="AA189" s="44">
        <f>'Kalkulace a Porovnání'!AA189</f>
        <v>0</v>
      </c>
      <c r="AB189" s="30">
        <f>'Kalkulace a Porovnání'!AB189</f>
        <v>0</v>
      </c>
      <c r="AC189" s="146"/>
      <c r="AD189" s="428"/>
      <c r="AG189" s="147"/>
      <c r="AH189" s="147"/>
      <c r="AI189" s="252"/>
      <c r="AJ189" s="252"/>
      <c r="AK189" s="428"/>
      <c r="AL189" s="146"/>
    </row>
    <row r="190" spans="2:38" x14ac:dyDescent="0.25">
      <c r="B190" s="9" t="s">
        <v>45</v>
      </c>
      <c r="C190" s="10" t="s">
        <v>388</v>
      </c>
      <c r="D190" s="11" t="s">
        <v>10</v>
      </c>
      <c r="E190" s="44">
        <f>'Kalkulace a Porovnání'!E190</f>
        <v>0</v>
      </c>
      <c r="F190" s="44">
        <f>'Kalkulace a Porovnání'!F190</f>
        <v>0</v>
      </c>
      <c r="G190" s="44">
        <f>'Kalkulace a Porovnání'!G190</f>
        <v>0</v>
      </c>
      <c r="H190" s="30">
        <f>'Kalkulace a Porovnání'!H190</f>
        <v>0</v>
      </c>
      <c r="K190" s="9" t="s">
        <v>45</v>
      </c>
      <c r="L190" s="10" t="s">
        <v>388</v>
      </c>
      <c r="M190" s="11" t="s">
        <v>10</v>
      </c>
      <c r="N190" s="44">
        <f>'Kalkulace a Porovnání'!N190</f>
        <v>0</v>
      </c>
      <c r="O190" s="44">
        <f>'Kalkulace a Porovnání'!O190</f>
        <v>0</v>
      </c>
      <c r="P190" s="44">
        <f>'Kalkulace a Porovnání'!P190</f>
        <v>0</v>
      </c>
      <c r="Q190" s="30">
        <f>'Kalkulace a Porovnání'!Q190</f>
        <v>0</v>
      </c>
      <c r="T190" s="9" t="s">
        <v>45</v>
      </c>
      <c r="U190" s="10" t="s">
        <v>388</v>
      </c>
      <c r="V190" s="11" t="s">
        <v>10</v>
      </c>
      <c r="W190" s="44">
        <f>'Kalkulace a Porovnání'!W190</f>
        <v>0</v>
      </c>
      <c r="X190" s="44">
        <f>'Kalkulace a Porovnání'!X190</f>
        <v>0</v>
      </c>
      <c r="Y190" s="44">
        <f>'Kalkulace a Porovnání'!Y190</f>
        <v>0</v>
      </c>
      <c r="Z190" s="44">
        <f>'Kalkulace a Porovnání'!Z190</f>
        <v>0</v>
      </c>
      <c r="AA190" s="44">
        <f>'Kalkulace a Porovnání'!AA190</f>
        <v>0</v>
      </c>
      <c r="AB190" s="30">
        <f>'Kalkulace a Porovnání'!AB190</f>
        <v>0</v>
      </c>
      <c r="AC190" s="146"/>
      <c r="AD190" s="428"/>
      <c r="AG190" s="147"/>
      <c r="AH190" s="147"/>
      <c r="AI190" s="252"/>
      <c r="AJ190" s="252"/>
      <c r="AK190" s="428"/>
      <c r="AL190" s="146"/>
    </row>
    <row r="191" spans="2:38" x14ac:dyDescent="0.25">
      <c r="B191" s="9" t="s">
        <v>46</v>
      </c>
      <c r="C191" s="10" t="s">
        <v>47</v>
      </c>
      <c r="D191" s="11" t="s">
        <v>10</v>
      </c>
      <c r="E191" s="44">
        <f>'Kalkulace a Porovnání'!E191</f>
        <v>0</v>
      </c>
      <c r="F191" s="44">
        <f>'Kalkulace a Porovnání'!F191</f>
        <v>0</v>
      </c>
      <c r="G191" s="44">
        <f>'Kalkulace a Porovnání'!G191</f>
        <v>0</v>
      </c>
      <c r="H191" s="30">
        <f>'Kalkulace a Porovnání'!H191</f>
        <v>0</v>
      </c>
      <c r="K191" s="9" t="s">
        <v>46</v>
      </c>
      <c r="L191" s="10" t="s">
        <v>47</v>
      </c>
      <c r="M191" s="11" t="s">
        <v>10</v>
      </c>
      <c r="N191" s="44">
        <f>'Kalkulace a Porovnání'!N191</f>
        <v>0</v>
      </c>
      <c r="O191" s="44">
        <f>'Kalkulace a Porovnání'!O191</f>
        <v>0</v>
      </c>
      <c r="P191" s="44">
        <f>'Kalkulace a Porovnání'!P191</f>
        <v>0</v>
      </c>
      <c r="Q191" s="30">
        <f>'Kalkulace a Porovnání'!Q191</f>
        <v>0</v>
      </c>
      <c r="T191" s="9" t="s">
        <v>46</v>
      </c>
      <c r="U191" s="10" t="s">
        <v>47</v>
      </c>
      <c r="V191" s="11" t="s">
        <v>10</v>
      </c>
      <c r="W191" s="44">
        <f>'Kalkulace a Porovnání'!W191</f>
        <v>0</v>
      </c>
      <c r="X191" s="44">
        <f>'Kalkulace a Porovnání'!X191</f>
        <v>0</v>
      </c>
      <c r="Y191" s="44">
        <f>'Kalkulace a Porovnání'!Y191</f>
        <v>0</v>
      </c>
      <c r="Z191" s="44">
        <f>'Kalkulace a Porovnání'!Z191</f>
        <v>0</v>
      </c>
      <c r="AA191" s="44">
        <f>'Kalkulace a Porovnání'!AA191</f>
        <v>0</v>
      </c>
      <c r="AB191" s="30">
        <f>'Kalkulace a Porovnání'!AB191</f>
        <v>0</v>
      </c>
      <c r="AC191" s="146"/>
      <c r="AD191" s="428"/>
      <c r="AG191" s="147"/>
      <c r="AH191" s="147"/>
      <c r="AI191" s="252"/>
      <c r="AJ191" s="252"/>
      <c r="AK191" s="428"/>
      <c r="AL191" s="146"/>
    </row>
    <row r="192" spans="2:38" x14ac:dyDescent="0.25">
      <c r="B192" s="9" t="s">
        <v>48</v>
      </c>
      <c r="C192" s="10" t="s">
        <v>49</v>
      </c>
      <c r="D192" s="11" t="s">
        <v>10</v>
      </c>
      <c r="E192" s="44">
        <f>'Kalkulace a Porovnání'!E192</f>
        <v>0</v>
      </c>
      <c r="F192" s="44">
        <f>'Kalkulace a Porovnání'!F192</f>
        <v>0</v>
      </c>
      <c r="G192" s="44">
        <f>'Kalkulace a Porovnání'!G192</f>
        <v>0</v>
      </c>
      <c r="H192" s="30">
        <f>'Kalkulace a Porovnání'!H192</f>
        <v>0</v>
      </c>
      <c r="K192" s="9" t="s">
        <v>48</v>
      </c>
      <c r="L192" s="10" t="s">
        <v>49</v>
      </c>
      <c r="M192" s="11" t="s">
        <v>10</v>
      </c>
      <c r="N192" s="44">
        <f>'Kalkulace a Porovnání'!N192</f>
        <v>0</v>
      </c>
      <c r="O192" s="44">
        <f>'Kalkulace a Porovnání'!O192</f>
        <v>0</v>
      </c>
      <c r="P192" s="44">
        <f>'Kalkulace a Porovnání'!P192</f>
        <v>0</v>
      </c>
      <c r="Q192" s="30">
        <f>'Kalkulace a Porovnání'!Q192</f>
        <v>0</v>
      </c>
      <c r="T192" s="9" t="s">
        <v>48</v>
      </c>
      <c r="U192" s="10" t="s">
        <v>49</v>
      </c>
      <c r="V192" s="11" t="s">
        <v>10</v>
      </c>
      <c r="W192" s="44">
        <f>'Kalkulace a Porovnání'!W192</f>
        <v>0</v>
      </c>
      <c r="X192" s="44">
        <f>'Kalkulace a Porovnání'!X192</f>
        <v>0</v>
      </c>
      <c r="Y192" s="44">
        <f>'Kalkulace a Porovnání'!Y192</f>
        <v>0</v>
      </c>
      <c r="Z192" s="44">
        <f>'Kalkulace a Porovnání'!Z192</f>
        <v>0</v>
      </c>
      <c r="AA192" s="44">
        <f>'Kalkulace a Porovnání'!AA192</f>
        <v>0</v>
      </c>
      <c r="AB192" s="30">
        <f>'Kalkulace a Porovnání'!AB192</f>
        <v>0</v>
      </c>
      <c r="AC192" s="146"/>
      <c r="AD192" s="428"/>
      <c r="AG192" s="147"/>
      <c r="AH192" s="147"/>
      <c r="AI192" s="252"/>
      <c r="AJ192" s="252"/>
      <c r="AK192" s="428"/>
      <c r="AL192" s="146"/>
    </row>
    <row r="193" spans="2:38" x14ac:dyDescent="0.25">
      <c r="B193" s="12" t="s">
        <v>386</v>
      </c>
      <c r="C193" s="13" t="s">
        <v>385</v>
      </c>
      <c r="D193" s="3" t="s">
        <v>10</v>
      </c>
      <c r="E193" s="44">
        <f>'Kalkulace a Porovnání'!E193</f>
        <v>0</v>
      </c>
      <c r="F193" s="44">
        <f>'Kalkulace a Porovnání'!F193</f>
        <v>0.02</v>
      </c>
      <c r="G193" s="44">
        <f>'Kalkulace a Porovnání'!G193</f>
        <v>0</v>
      </c>
      <c r="H193" s="30">
        <f>'Kalkulace a Porovnání'!H193</f>
        <v>0.02</v>
      </c>
      <c r="K193" s="12" t="s">
        <v>386</v>
      </c>
      <c r="L193" s="13" t="s">
        <v>385</v>
      </c>
      <c r="M193" s="3" t="s">
        <v>10</v>
      </c>
      <c r="N193" s="44">
        <f>'Kalkulace a Porovnání'!N193</f>
        <v>0</v>
      </c>
      <c r="O193" s="44">
        <f>'Kalkulace a Porovnání'!O193</f>
        <v>0</v>
      </c>
      <c r="P193" s="44">
        <f>'Kalkulace a Porovnání'!P193</f>
        <v>0</v>
      </c>
      <c r="Q193" s="30">
        <f>'Kalkulace a Porovnání'!Q193</f>
        <v>0</v>
      </c>
      <c r="T193" s="12" t="s">
        <v>386</v>
      </c>
      <c r="U193" s="13" t="s">
        <v>385</v>
      </c>
      <c r="V193" s="3" t="s">
        <v>10</v>
      </c>
      <c r="W193" s="44">
        <f>'Kalkulace a Porovnání'!W193</f>
        <v>0</v>
      </c>
      <c r="X193" s="44">
        <f>'Kalkulace a Porovnání'!X193</f>
        <v>0</v>
      </c>
      <c r="Y193" s="44">
        <f>'Kalkulace a Porovnání'!Y193</f>
        <v>0</v>
      </c>
      <c r="Z193" s="44">
        <f>'Kalkulace a Porovnání'!Z193</f>
        <v>0</v>
      </c>
      <c r="AA193" s="44">
        <f>'Kalkulace a Porovnání'!AA193</f>
        <v>0</v>
      </c>
      <c r="AB193" s="30">
        <f>'Kalkulace a Porovnání'!AB193</f>
        <v>0</v>
      </c>
      <c r="AC193" s="146"/>
      <c r="AD193" s="428"/>
      <c r="AG193" s="147"/>
      <c r="AH193" s="147"/>
      <c r="AI193" s="252"/>
      <c r="AJ193" s="252"/>
      <c r="AK193" s="428"/>
      <c r="AL193" s="146"/>
    </row>
    <row r="194" spans="2:38" x14ac:dyDescent="0.25">
      <c r="B194" s="9" t="s">
        <v>50</v>
      </c>
      <c r="C194" s="10" t="s">
        <v>391</v>
      </c>
      <c r="D194" s="11" t="s">
        <v>10</v>
      </c>
      <c r="E194" s="41">
        <f>'Kalkulace a Porovnání'!E194</f>
        <v>0</v>
      </c>
      <c r="F194" s="41">
        <f>'Kalkulace a Porovnání'!F194</f>
        <v>0</v>
      </c>
      <c r="G194" s="41">
        <f>'Kalkulace a Porovnání'!G194</f>
        <v>0</v>
      </c>
      <c r="H194" s="86">
        <f>'Kalkulace a Porovnání'!H194</f>
        <v>0</v>
      </c>
      <c r="K194" s="9" t="s">
        <v>50</v>
      </c>
      <c r="L194" s="10" t="s">
        <v>391</v>
      </c>
      <c r="M194" s="11" t="s">
        <v>10</v>
      </c>
      <c r="N194" s="41">
        <f>'Kalkulace a Porovnání'!N194</f>
        <v>0</v>
      </c>
      <c r="O194" s="41">
        <f>'Kalkulace a Porovnání'!O194</f>
        <v>0</v>
      </c>
      <c r="P194" s="41">
        <f>'Kalkulace a Porovnání'!P194</f>
        <v>0</v>
      </c>
      <c r="Q194" s="86">
        <f>'Kalkulace a Porovnání'!Q194</f>
        <v>0</v>
      </c>
      <c r="T194" s="9" t="s">
        <v>50</v>
      </c>
      <c r="U194" s="10" t="s">
        <v>391</v>
      </c>
      <c r="V194" s="11" t="s">
        <v>10</v>
      </c>
      <c r="W194" s="41">
        <f>'Kalkulace a Porovnání'!W194</f>
        <v>0</v>
      </c>
      <c r="X194" s="41">
        <f>'Kalkulace a Porovnání'!X194</f>
        <v>0</v>
      </c>
      <c r="Y194" s="41">
        <f>'Kalkulace a Porovnání'!Y194</f>
        <v>0</v>
      </c>
      <c r="Z194" s="41">
        <f>'Kalkulace a Porovnání'!Z194</f>
        <v>0</v>
      </c>
      <c r="AA194" s="41">
        <f>'Kalkulace a Porovnání'!AA194</f>
        <v>0</v>
      </c>
      <c r="AB194" s="86">
        <f>'Kalkulace a Porovnání'!AB194</f>
        <v>0</v>
      </c>
      <c r="AC194" s="146"/>
      <c r="AD194" s="428"/>
      <c r="AG194" s="147"/>
      <c r="AH194" s="147"/>
      <c r="AI194" s="252"/>
      <c r="AJ194" s="252"/>
      <c r="AK194" s="428"/>
      <c r="AL194" s="146"/>
    </row>
    <row r="195" spans="2:38" x14ac:dyDescent="0.25">
      <c r="B195" s="12" t="s">
        <v>389</v>
      </c>
      <c r="C195" s="13" t="s">
        <v>96</v>
      </c>
      <c r="D195" s="3" t="s">
        <v>10</v>
      </c>
      <c r="E195" s="329">
        <f>'Kalkulace a Porovnání'!E195</f>
        <v>0</v>
      </c>
      <c r="F195" s="329">
        <f>'Kalkulace a Porovnání'!F195</f>
        <v>0</v>
      </c>
      <c r="G195" s="329">
        <f>'Kalkulace a Porovnání'!G195</f>
        <v>0</v>
      </c>
      <c r="H195" s="330">
        <f>'Kalkulace a Porovnání'!H195</f>
        <v>0</v>
      </c>
      <c r="K195" s="12" t="s">
        <v>389</v>
      </c>
      <c r="L195" s="13" t="s">
        <v>96</v>
      </c>
      <c r="M195" s="3" t="s">
        <v>10</v>
      </c>
      <c r="N195" s="329">
        <f>'Kalkulace a Porovnání'!N195</f>
        <v>0</v>
      </c>
      <c r="O195" s="329">
        <f>'Kalkulace a Porovnání'!O195</f>
        <v>0</v>
      </c>
      <c r="P195" s="329">
        <f>'Kalkulace a Porovnání'!P195</f>
        <v>0</v>
      </c>
      <c r="Q195" s="330">
        <f>'Kalkulace a Porovnání'!Q195</f>
        <v>0</v>
      </c>
      <c r="T195" s="12" t="s">
        <v>389</v>
      </c>
      <c r="U195" s="13" t="s">
        <v>96</v>
      </c>
      <c r="V195" s="3" t="s">
        <v>10</v>
      </c>
      <c r="W195" s="329">
        <f>'Kalkulace a Porovnání'!W195</f>
        <v>0</v>
      </c>
      <c r="X195" s="329">
        <f>'Kalkulace a Porovnání'!X195</f>
        <v>0</v>
      </c>
      <c r="Y195" s="329">
        <f>'Kalkulace a Porovnání'!Y195</f>
        <v>0</v>
      </c>
      <c r="Z195" s="329">
        <f>'Kalkulace a Porovnání'!Z195</f>
        <v>0</v>
      </c>
      <c r="AA195" s="329">
        <f>'Kalkulace a Porovnání'!AA195</f>
        <v>0</v>
      </c>
      <c r="AB195" s="330">
        <f>'Kalkulace a Porovnání'!AB195</f>
        <v>0</v>
      </c>
      <c r="AC195" s="146"/>
      <c r="AD195" s="428"/>
      <c r="AG195" s="1120"/>
      <c r="AH195" s="1120"/>
      <c r="AI195" s="252"/>
      <c r="AJ195" s="252"/>
      <c r="AK195" s="428"/>
      <c r="AL195" s="146"/>
    </row>
    <row r="196" spans="2:38" x14ac:dyDescent="0.25">
      <c r="B196" s="12" t="s">
        <v>389</v>
      </c>
      <c r="C196" s="13" t="s">
        <v>97</v>
      </c>
      <c r="D196" s="3" t="s">
        <v>10</v>
      </c>
      <c r="E196" s="329">
        <f>'Kalkulace a Porovnání'!E196</f>
        <v>0</v>
      </c>
      <c r="F196" s="329">
        <f>'Kalkulace a Porovnání'!F196</f>
        <v>0</v>
      </c>
      <c r="G196" s="329">
        <f>'Kalkulace a Porovnání'!G196</f>
        <v>0</v>
      </c>
      <c r="H196" s="330">
        <f>'Kalkulace a Porovnání'!H196</f>
        <v>0</v>
      </c>
      <c r="K196" s="12" t="s">
        <v>389</v>
      </c>
      <c r="L196" s="13" t="s">
        <v>97</v>
      </c>
      <c r="M196" s="3" t="s">
        <v>10</v>
      </c>
      <c r="N196" s="329">
        <f>'Kalkulace a Porovnání'!N196</f>
        <v>0</v>
      </c>
      <c r="O196" s="329">
        <f>'Kalkulace a Porovnání'!O196</f>
        <v>0</v>
      </c>
      <c r="P196" s="329">
        <f>'Kalkulace a Porovnání'!P196</f>
        <v>0</v>
      </c>
      <c r="Q196" s="330">
        <f>'Kalkulace a Porovnání'!Q196</f>
        <v>0</v>
      </c>
      <c r="T196" s="12" t="s">
        <v>389</v>
      </c>
      <c r="U196" s="13" t="s">
        <v>97</v>
      </c>
      <c r="V196" s="3" t="s">
        <v>10</v>
      </c>
      <c r="W196" s="329">
        <f>'Kalkulace a Porovnání'!W196</f>
        <v>0</v>
      </c>
      <c r="X196" s="329">
        <f>'Kalkulace a Porovnání'!X196</f>
        <v>0</v>
      </c>
      <c r="Y196" s="329">
        <f>'Kalkulace a Porovnání'!Y196</f>
        <v>0</v>
      </c>
      <c r="Z196" s="329">
        <f>'Kalkulace a Porovnání'!Z196</f>
        <v>0</v>
      </c>
      <c r="AA196" s="329">
        <f>'Kalkulace a Porovnání'!AA196</f>
        <v>0</v>
      </c>
      <c r="AB196" s="330">
        <f>'Kalkulace a Porovnání'!AB196</f>
        <v>0</v>
      </c>
      <c r="AC196" s="146"/>
      <c r="AD196" s="428"/>
      <c r="AG196" s="1120"/>
      <c r="AH196" s="1120"/>
      <c r="AI196" s="252"/>
      <c r="AJ196" s="252"/>
      <c r="AK196" s="428"/>
      <c r="AL196" s="146"/>
    </row>
    <row r="197" spans="2:38" x14ac:dyDescent="0.25">
      <c r="B197" s="12" t="s">
        <v>51</v>
      </c>
      <c r="C197" s="13" t="s">
        <v>54</v>
      </c>
      <c r="D197" s="3" t="s">
        <v>55</v>
      </c>
      <c r="E197" s="331">
        <f>'Kalkulace a Porovnání'!E197</f>
        <v>0</v>
      </c>
      <c r="F197" s="331">
        <f>'Kalkulace a Porovnání'!F197</f>
        <v>0</v>
      </c>
      <c r="G197" s="331">
        <f>'Kalkulace a Porovnání'!G197</f>
        <v>0</v>
      </c>
      <c r="H197" s="332">
        <f>'Kalkulace a Porovnání'!H197</f>
        <v>0</v>
      </c>
      <c r="K197" s="12" t="s">
        <v>51</v>
      </c>
      <c r="L197" s="13" t="s">
        <v>54</v>
      </c>
      <c r="M197" s="3" t="s">
        <v>55</v>
      </c>
      <c r="N197" s="331">
        <f>'Kalkulace a Porovnání'!N197</f>
        <v>0</v>
      </c>
      <c r="O197" s="331">
        <f>'Kalkulace a Porovnání'!O197</f>
        <v>0</v>
      </c>
      <c r="P197" s="331">
        <f>'Kalkulace a Porovnání'!P197</f>
        <v>0</v>
      </c>
      <c r="Q197" s="332">
        <f>'Kalkulace a Porovnání'!Q197</f>
        <v>0</v>
      </c>
      <c r="T197" s="12" t="s">
        <v>51</v>
      </c>
      <c r="U197" s="13" t="s">
        <v>54</v>
      </c>
      <c r="V197" s="3" t="s">
        <v>55</v>
      </c>
      <c r="W197" s="331">
        <f>'Kalkulace a Porovnání'!W197</f>
        <v>0</v>
      </c>
      <c r="X197" s="331">
        <f>'Kalkulace a Porovnání'!X197</f>
        <v>0</v>
      </c>
      <c r="Y197" s="331">
        <f>'Kalkulace a Porovnání'!Y197</f>
        <v>0</v>
      </c>
      <c r="Z197" s="331">
        <f>'Kalkulace a Porovnání'!Z197</f>
        <v>0</v>
      </c>
      <c r="AA197" s="331">
        <f>'Kalkulace a Porovnání'!AA197</f>
        <v>0</v>
      </c>
      <c r="AB197" s="332">
        <f>'Kalkulace a Porovnání'!AB197</f>
        <v>0</v>
      </c>
      <c r="AC197" s="146"/>
      <c r="AD197" s="428"/>
      <c r="AG197" s="1119"/>
      <c r="AH197" s="1119"/>
      <c r="AI197" s="252"/>
      <c r="AJ197" s="252"/>
      <c r="AK197" s="428"/>
      <c r="AL197" s="146"/>
    </row>
    <row r="198" spans="2:38" x14ac:dyDescent="0.25">
      <c r="B198" s="12" t="s">
        <v>52</v>
      </c>
      <c r="C198" s="13" t="s">
        <v>57</v>
      </c>
      <c r="D198" s="3" t="s">
        <v>58</v>
      </c>
      <c r="E198" s="44">
        <f>'Kalkulace a Porovnání'!E198</f>
        <v>0</v>
      </c>
      <c r="F198" s="44">
        <f>'Kalkulace a Porovnání'!F198</f>
        <v>0</v>
      </c>
      <c r="G198" s="44">
        <f>'Kalkulace a Porovnání'!G198</f>
        <v>0</v>
      </c>
      <c r="H198" s="30">
        <f>'Kalkulace a Porovnání'!H198</f>
        <v>0</v>
      </c>
      <c r="K198" s="12" t="s">
        <v>52</v>
      </c>
      <c r="L198" s="13" t="s">
        <v>57</v>
      </c>
      <c r="M198" s="3" t="s">
        <v>58</v>
      </c>
      <c r="N198" s="44">
        <f>'Kalkulace a Porovnání'!N198</f>
        <v>0</v>
      </c>
      <c r="O198" s="44">
        <f>'Kalkulace a Porovnání'!O198</f>
        <v>0</v>
      </c>
      <c r="P198" s="44">
        <f>'Kalkulace a Porovnání'!P198</f>
        <v>0</v>
      </c>
      <c r="Q198" s="30">
        <f>'Kalkulace a Porovnání'!Q198</f>
        <v>0</v>
      </c>
      <c r="T198" s="12" t="s">
        <v>52</v>
      </c>
      <c r="U198" s="13" t="s">
        <v>57</v>
      </c>
      <c r="V198" s="3" t="s">
        <v>58</v>
      </c>
      <c r="W198" s="44">
        <f>'Kalkulace a Porovnání'!W198</f>
        <v>0</v>
      </c>
      <c r="X198" s="44">
        <f>'Kalkulace a Porovnání'!X198</f>
        <v>0</v>
      </c>
      <c r="Y198" s="44">
        <f>'Kalkulace a Porovnání'!Y198</f>
        <v>0</v>
      </c>
      <c r="Z198" s="44">
        <f>'Kalkulace a Porovnání'!Z198</f>
        <v>0</v>
      </c>
      <c r="AA198" s="44">
        <f>'Kalkulace a Porovnání'!AA198</f>
        <v>0</v>
      </c>
      <c r="AB198" s="30">
        <f>'Kalkulace a Porovnání'!AB198</f>
        <v>0</v>
      </c>
      <c r="AC198" s="146"/>
      <c r="AD198" s="428"/>
      <c r="AG198" s="1119"/>
      <c r="AH198" s="1119"/>
      <c r="AI198" s="252"/>
      <c r="AJ198" s="252"/>
      <c r="AK198" s="428"/>
      <c r="AL198" s="146"/>
    </row>
    <row r="199" spans="2:38" x14ac:dyDescent="0.25">
      <c r="B199" s="12" t="s">
        <v>53</v>
      </c>
      <c r="C199" s="13" t="s">
        <v>60</v>
      </c>
      <c r="D199" s="3" t="s">
        <v>58</v>
      </c>
      <c r="E199" s="44">
        <f>'Kalkulace a Porovnání'!E199</f>
        <v>0</v>
      </c>
      <c r="F199" s="44">
        <f>'Kalkulace a Porovnání'!F199</f>
        <v>0</v>
      </c>
      <c r="G199" s="44">
        <f>'Kalkulace a Porovnání'!G199</f>
        <v>0</v>
      </c>
      <c r="H199" s="30">
        <f>'Kalkulace a Porovnání'!H199</f>
        <v>0</v>
      </c>
      <c r="K199" s="12" t="s">
        <v>53</v>
      </c>
      <c r="L199" s="13" t="s">
        <v>60</v>
      </c>
      <c r="M199" s="3" t="s">
        <v>58</v>
      </c>
      <c r="N199" s="44">
        <f>'Kalkulace a Porovnání'!N199</f>
        <v>0</v>
      </c>
      <c r="O199" s="44">
        <f>'Kalkulace a Porovnání'!O199</f>
        <v>0</v>
      </c>
      <c r="P199" s="44">
        <f>'Kalkulace a Porovnání'!P199</f>
        <v>0</v>
      </c>
      <c r="Q199" s="30">
        <f>'Kalkulace a Porovnání'!Q199</f>
        <v>0</v>
      </c>
      <c r="T199" s="12" t="s">
        <v>53</v>
      </c>
      <c r="U199" s="13" t="s">
        <v>60</v>
      </c>
      <c r="V199" s="3" t="s">
        <v>58</v>
      </c>
      <c r="W199" s="44">
        <f>'Kalkulace a Porovnání'!W199</f>
        <v>0</v>
      </c>
      <c r="X199" s="44">
        <f>'Kalkulace a Porovnání'!X199</f>
        <v>0</v>
      </c>
      <c r="Y199" s="44">
        <f>'Kalkulace a Porovnání'!Y199</f>
        <v>0</v>
      </c>
      <c r="Z199" s="44">
        <f>'Kalkulace a Porovnání'!Z199</f>
        <v>0</v>
      </c>
      <c r="AA199" s="44">
        <f>'Kalkulace a Porovnání'!AA199</f>
        <v>0</v>
      </c>
      <c r="AB199" s="30">
        <f>'Kalkulace a Porovnání'!AB199</f>
        <v>0</v>
      </c>
      <c r="AC199" s="146"/>
      <c r="AD199" s="428"/>
      <c r="AG199" s="147"/>
      <c r="AH199" s="147"/>
      <c r="AI199" s="252"/>
      <c r="AJ199" s="252"/>
      <c r="AK199" s="428"/>
      <c r="AL199" s="146"/>
    </row>
    <row r="200" spans="2:38" x14ac:dyDescent="0.25">
      <c r="B200" s="12" t="s">
        <v>56</v>
      </c>
      <c r="C200" s="13" t="s">
        <v>62</v>
      </c>
      <c r="D200" s="3" t="s">
        <v>58</v>
      </c>
      <c r="E200" s="44">
        <f>'Kalkulace a Porovnání'!E200</f>
        <v>0</v>
      </c>
      <c r="F200" s="44">
        <f>'Kalkulace a Porovnání'!F200</f>
        <v>0</v>
      </c>
      <c r="G200" s="44">
        <f>'Kalkulace a Porovnání'!G200</f>
        <v>0</v>
      </c>
      <c r="H200" s="30">
        <f>'Kalkulace a Porovnání'!H200</f>
        <v>0</v>
      </c>
      <c r="K200" s="12" t="s">
        <v>56</v>
      </c>
      <c r="L200" s="13" t="s">
        <v>62</v>
      </c>
      <c r="M200" s="3" t="s">
        <v>58</v>
      </c>
      <c r="N200" s="44">
        <f>'Kalkulace a Porovnání'!N200</f>
        <v>0</v>
      </c>
      <c r="O200" s="44">
        <f>'Kalkulace a Porovnání'!O200</f>
        <v>0</v>
      </c>
      <c r="P200" s="44">
        <f>'Kalkulace a Porovnání'!P200</f>
        <v>0</v>
      </c>
      <c r="Q200" s="30">
        <f>'Kalkulace a Porovnání'!Q200</f>
        <v>0</v>
      </c>
      <c r="T200" s="12" t="s">
        <v>56</v>
      </c>
      <c r="U200" s="13" t="s">
        <v>62</v>
      </c>
      <c r="V200" s="3" t="s">
        <v>58</v>
      </c>
      <c r="W200" s="44">
        <f>'Kalkulace a Porovnání'!W200</f>
        <v>0</v>
      </c>
      <c r="X200" s="44">
        <f>'Kalkulace a Porovnání'!X200</f>
        <v>0</v>
      </c>
      <c r="Y200" s="44">
        <f>'Kalkulace a Porovnání'!Y200</f>
        <v>0</v>
      </c>
      <c r="Z200" s="44">
        <f>'Kalkulace a Porovnání'!Z200</f>
        <v>0</v>
      </c>
      <c r="AA200" s="44">
        <f>'Kalkulace a Porovnání'!AA200</f>
        <v>0</v>
      </c>
      <c r="AB200" s="30">
        <f>'Kalkulace a Porovnání'!AB200</f>
        <v>0</v>
      </c>
      <c r="AC200" s="146"/>
      <c r="AD200" s="428"/>
      <c r="AG200" s="430"/>
      <c r="AH200" s="430"/>
      <c r="AI200" s="252"/>
      <c r="AJ200" s="252"/>
      <c r="AK200" s="428"/>
      <c r="AL200" s="146"/>
    </row>
    <row r="201" spans="2:38" x14ac:dyDescent="0.25">
      <c r="B201" s="12" t="s">
        <v>59</v>
      </c>
      <c r="C201" s="13" t="s">
        <v>60</v>
      </c>
      <c r="D201" s="3" t="s">
        <v>58</v>
      </c>
      <c r="E201" s="44">
        <f>'Kalkulace a Porovnání'!E201</f>
        <v>0</v>
      </c>
      <c r="F201" s="44">
        <f>'Kalkulace a Porovnání'!F201</f>
        <v>0</v>
      </c>
      <c r="G201" s="44">
        <f>'Kalkulace a Porovnání'!G201</f>
        <v>0</v>
      </c>
      <c r="H201" s="30">
        <f>'Kalkulace a Porovnání'!H201</f>
        <v>0</v>
      </c>
      <c r="K201" s="12" t="s">
        <v>59</v>
      </c>
      <c r="L201" s="13" t="s">
        <v>60</v>
      </c>
      <c r="M201" s="3" t="s">
        <v>58</v>
      </c>
      <c r="N201" s="44">
        <f>'Kalkulace a Porovnání'!N201</f>
        <v>0</v>
      </c>
      <c r="O201" s="44">
        <f>'Kalkulace a Porovnání'!O201</f>
        <v>0</v>
      </c>
      <c r="P201" s="44">
        <f>'Kalkulace a Porovnání'!P201</f>
        <v>0</v>
      </c>
      <c r="Q201" s="30">
        <f>'Kalkulace a Porovnání'!Q201</f>
        <v>0</v>
      </c>
      <c r="T201" s="12" t="s">
        <v>59</v>
      </c>
      <c r="U201" s="13" t="s">
        <v>60</v>
      </c>
      <c r="V201" s="3" t="s">
        <v>58</v>
      </c>
      <c r="W201" s="44">
        <f>'Kalkulace a Porovnání'!W201</f>
        <v>0</v>
      </c>
      <c r="X201" s="44">
        <f>'Kalkulace a Porovnání'!X201</f>
        <v>0</v>
      </c>
      <c r="Y201" s="44">
        <f>'Kalkulace a Porovnání'!Y201</f>
        <v>0</v>
      </c>
      <c r="Z201" s="44">
        <f>'Kalkulace a Porovnání'!Z201</f>
        <v>0</v>
      </c>
      <c r="AA201" s="44">
        <f>'Kalkulace a Porovnání'!AA201</f>
        <v>0</v>
      </c>
      <c r="AB201" s="30">
        <f>'Kalkulace a Porovnání'!AB201</f>
        <v>0</v>
      </c>
      <c r="AC201" s="146"/>
      <c r="AD201" s="428"/>
      <c r="AG201" s="427"/>
      <c r="AH201" s="427"/>
      <c r="AI201" s="252"/>
      <c r="AJ201" s="252"/>
      <c r="AK201" s="428"/>
      <c r="AL201" s="146"/>
    </row>
    <row r="202" spans="2:38" x14ac:dyDescent="0.25">
      <c r="B202" s="12" t="s">
        <v>61</v>
      </c>
      <c r="C202" s="13" t="s">
        <v>65</v>
      </c>
      <c r="D202" s="3" t="s">
        <v>58</v>
      </c>
      <c r="E202" s="44">
        <f>'Kalkulace a Porovnání'!E202</f>
        <v>0</v>
      </c>
      <c r="F202" s="44">
        <f>'Kalkulace a Porovnání'!F202</f>
        <v>0</v>
      </c>
      <c r="G202" s="44">
        <f>'Kalkulace a Porovnání'!G202</f>
        <v>0</v>
      </c>
      <c r="H202" s="30">
        <f>'Kalkulace a Porovnání'!H202</f>
        <v>0</v>
      </c>
      <c r="K202" s="12" t="s">
        <v>61</v>
      </c>
      <c r="L202" s="13" t="s">
        <v>65</v>
      </c>
      <c r="M202" s="3" t="s">
        <v>58</v>
      </c>
      <c r="N202" s="44">
        <f>'Kalkulace a Porovnání'!N202</f>
        <v>0</v>
      </c>
      <c r="O202" s="44">
        <f>'Kalkulace a Porovnání'!O202</f>
        <v>0</v>
      </c>
      <c r="P202" s="44">
        <f>'Kalkulace a Porovnání'!P202</f>
        <v>0</v>
      </c>
      <c r="Q202" s="30">
        <f>'Kalkulace a Porovnání'!Q202</f>
        <v>0</v>
      </c>
      <c r="T202" s="12" t="s">
        <v>61</v>
      </c>
      <c r="U202" s="13" t="s">
        <v>65</v>
      </c>
      <c r="V202" s="3" t="s">
        <v>58</v>
      </c>
      <c r="W202" s="44">
        <f>'Kalkulace a Porovnání'!W202</f>
        <v>0</v>
      </c>
      <c r="X202" s="44">
        <f>'Kalkulace a Porovnání'!X202</f>
        <v>0</v>
      </c>
      <c r="Y202" s="44">
        <f>'Kalkulace a Porovnání'!Y202</f>
        <v>0</v>
      </c>
      <c r="Z202" s="44">
        <f>'Kalkulace a Porovnání'!Z202</f>
        <v>0</v>
      </c>
      <c r="AA202" s="44">
        <f>'Kalkulace a Porovnání'!AA202</f>
        <v>0</v>
      </c>
      <c r="AB202" s="30">
        <f>'Kalkulace a Porovnání'!AB202</f>
        <v>0</v>
      </c>
      <c r="AC202" s="146"/>
      <c r="AD202" s="428"/>
      <c r="AG202" s="147"/>
      <c r="AH202" s="147"/>
      <c r="AI202" s="430"/>
      <c r="AJ202" s="430"/>
      <c r="AK202" s="428"/>
      <c r="AL202" s="146"/>
    </row>
    <row r="203" spans="2:38" x14ac:dyDescent="0.25">
      <c r="B203" s="12" t="s">
        <v>63</v>
      </c>
      <c r="C203" s="13" t="s">
        <v>67</v>
      </c>
      <c r="D203" s="3" t="s">
        <v>58</v>
      </c>
      <c r="E203" s="44">
        <f>'Kalkulace a Porovnání'!E203</f>
        <v>0</v>
      </c>
      <c r="F203" s="44">
        <f>'Kalkulace a Porovnání'!F203</f>
        <v>0</v>
      </c>
      <c r="G203" s="44">
        <f>'Kalkulace a Porovnání'!G203</f>
        <v>0</v>
      </c>
      <c r="H203" s="30">
        <f>'Kalkulace a Porovnání'!H203</f>
        <v>0</v>
      </c>
      <c r="K203" s="12" t="s">
        <v>63</v>
      </c>
      <c r="L203" s="13" t="s">
        <v>67</v>
      </c>
      <c r="M203" s="3" t="s">
        <v>58</v>
      </c>
      <c r="N203" s="44">
        <f>'Kalkulace a Porovnání'!N203</f>
        <v>0</v>
      </c>
      <c r="O203" s="44">
        <f>'Kalkulace a Porovnání'!O203</f>
        <v>0</v>
      </c>
      <c r="P203" s="44">
        <f>'Kalkulace a Porovnání'!P203</f>
        <v>0</v>
      </c>
      <c r="Q203" s="30">
        <f>'Kalkulace a Porovnání'!Q203</f>
        <v>0</v>
      </c>
      <c r="T203" s="12" t="s">
        <v>63</v>
      </c>
      <c r="U203" s="13" t="s">
        <v>67</v>
      </c>
      <c r="V203" s="3" t="s">
        <v>58</v>
      </c>
      <c r="W203" s="44">
        <f>'Kalkulace a Porovnání'!W203</f>
        <v>0</v>
      </c>
      <c r="X203" s="44">
        <f>'Kalkulace a Porovnání'!X203</f>
        <v>0</v>
      </c>
      <c r="Y203" s="44">
        <f>'Kalkulace a Porovnání'!Y203</f>
        <v>0</v>
      </c>
      <c r="Z203" s="44">
        <f>'Kalkulace a Porovnání'!Z203</f>
        <v>0</v>
      </c>
      <c r="AA203" s="44">
        <f>'Kalkulace a Porovnání'!AA203</f>
        <v>0</v>
      </c>
      <c r="AB203" s="30">
        <f>'Kalkulace a Porovnání'!AB203</f>
        <v>0</v>
      </c>
      <c r="AC203" s="146"/>
      <c r="AD203" s="428"/>
      <c r="AG203" s="147"/>
      <c r="AH203" s="147"/>
      <c r="AI203" s="430"/>
      <c r="AJ203" s="430"/>
      <c r="AK203" s="428"/>
      <c r="AL203" s="146"/>
    </row>
    <row r="204" spans="2:38" x14ac:dyDescent="0.25">
      <c r="B204" s="12" t="s">
        <v>64</v>
      </c>
      <c r="C204" s="13" t="s">
        <v>68</v>
      </c>
      <c r="D204" s="3" t="s">
        <v>58</v>
      </c>
      <c r="E204" s="44">
        <f>'Kalkulace a Porovnání'!E204</f>
        <v>0</v>
      </c>
      <c r="F204" s="44">
        <f>'Kalkulace a Porovnání'!F204</f>
        <v>0</v>
      </c>
      <c r="G204" s="44">
        <f>'Kalkulace a Porovnání'!G204</f>
        <v>0</v>
      </c>
      <c r="H204" s="30">
        <f>'Kalkulace a Porovnání'!H204</f>
        <v>0</v>
      </c>
      <c r="K204" s="12" t="s">
        <v>64</v>
      </c>
      <c r="L204" s="13" t="s">
        <v>68</v>
      </c>
      <c r="M204" s="3" t="s">
        <v>58</v>
      </c>
      <c r="N204" s="44">
        <f>'Kalkulace a Porovnání'!N204</f>
        <v>0</v>
      </c>
      <c r="O204" s="44">
        <f>'Kalkulace a Porovnání'!O204</f>
        <v>0</v>
      </c>
      <c r="P204" s="44">
        <f>'Kalkulace a Porovnání'!P204</f>
        <v>0</v>
      </c>
      <c r="Q204" s="30">
        <f>'Kalkulace a Porovnání'!Q204</f>
        <v>0</v>
      </c>
      <c r="T204" s="12" t="s">
        <v>64</v>
      </c>
      <c r="U204" s="13" t="s">
        <v>68</v>
      </c>
      <c r="V204" s="3" t="s">
        <v>58</v>
      </c>
      <c r="W204" s="44">
        <f>'Kalkulace a Porovnání'!W204</f>
        <v>0</v>
      </c>
      <c r="X204" s="44">
        <f>'Kalkulace a Porovnání'!X204</f>
        <v>0</v>
      </c>
      <c r="Y204" s="44">
        <f>'Kalkulace a Porovnání'!Y204</f>
        <v>0</v>
      </c>
      <c r="Z204" s="44">
        <f>'Kalkulace a Porovnání'!Z204</f>
        <v>0</v>
      </c>
      <c r="AA204" s="44">
        <f>'Kalkulace a Porovnání'!AA204</f>
        <v>0</v>
      </c>
      <c r="AB204" s="30">
        <f>'Kalkulace a Porovnání'!AB204</f>
        <v>0</v>
      </c>
      <c r="AC204" s="146"/>
      <c r="AD204" s="428"/>
      <c r="AG204" s="147"/>
      <c r="AH204" s="147"/>
      <c r="AI204" s="430"/>
      <c r="AJ204" s="430"/>
      <c r="AK204" s="428"/>
      <c r="AL204" s="146"/>
    </row>
    <row r="205" spans="2:38" x14ac:dyDescent="0.25">
      <c r="B205" s="12" t="s">
        <v>66</v>
      </c>
      <c r="C205" s="13" t="s">
        <v>69</v>
      </c>
      <c r="D205" s="3" t="s">
        <v>58</v>
      </c>
      <c r="E205" s="44">
        <f>'Kalkulace a Porovnání'!E205</f>
        <v>0</v>
      </c>
      <c r="F205" s="44">
        <f>'Kalkulace a Porovnání'!F205</f>
        <v>0</v>
      </c>
      <c r="G205" s="44">
        <f>'Kalkulace a Porovnání'!G205</f>
        <v>0</v>
      </c>
      <c r="H205" s="30">
        <f>'Kalkulace a Porovnání'!H205</f>
        <v>0</v>
      </c>
      <c r="K205" s="12" t="s">
        <v>66</v>
      </c>
      <c r="L205" s="13" t="s">
        <v>69</v>
      </c>
      <c r="M205" s="3" t="s">
        <v>58</v>
      </c>
      <c r="N205" s="44">
        <f>'Kalkulace a Porovnání'!N205</f>
        <v>0</v>
      </c>
      <c r="O205" s="44">
        <f>'Kalkulace a Porovnání'!O205</f>
        <v>0</v>
      </c>
      <c r="P205" s="44">
        <f>'Kalkulace a Porovnání'!P205</f>
        <v>0</v>
      </c>
      <c r="Q205" s="30">
        <f>'Kalkulace a Porovnání'!Q205</f>
        <v>0</v>
      </c>
      <c r="T205" s="12" t="s">
        <v>66</v>
      </c>
      <c r="U205" s="13" t="s">
        <v>69</v>
      </c>
      <c r="V205" s="3" t="s">
        <v>58</v>
      </c>
      <c r="W205" s="44">
        <f>'Kalkulace a Porovnání'!W205</f>
        <v>0</v>
      </c>
      <c r="X205" s="44">
        <f>'Kalkulace a Porovnání'!X205</f>
        <v>0</v>
      </c>
      <c r="Y205" s="44">
        <f>'Kalkulace a Porovnání'!Y205</f>
        <v>0</v>
      </c>
      <c r="Z205" s="44">
        <f>'Kalkulace a Porovnání'!Z205</f>
        <v>0</v>
      </c>
      <c r="AA205" s="44">
        <f>'Kalkulace a Porovnání'!AA205</f>
        <v>0</v>
      </c>
      <c r="AB205" s="30">
        <f>'Kalkulace a Porovnání'!AB205</f>
        <v>0</v>
      </c>
      <c r="AC205" s="146"/>
      <c r="AD205" s="428"/>
      <c r="AG205" s="314"/>
      <c r="AH205" s="314"/>
      <c r="AI205" s="252"/>
      <c r="AJ205" s="252"/>
      <c r="AK205" s="428"/>
      <c r="AL205" s="146"/>
    </row>
    <row r="206" spans="2:38" x14ac:dyDescent="0.25">
      <c r="B206" s="1"/>
      <c r="C206" s="1"/>
      <c r="D206" s="1"/>
      <c r="E206" s="1"/>
      <c r="F206" s="1"/>
      <c r="G206" s="1"/>
      <c r="H206" s="1"/>
      <c r="K206" s="1"/>
      <c r="L206" s="1"/>
      <c r="M206" s="1"/>
      <c r="N206" s="1"/>
      <c r="O206" s="1"/>
      <c r="P206" s="1"/>
      <c r="Q206" s="1"/>
      <c r="T206" s="1"/>
      <c r="U206" s="1"/>
      <c r="V206" s="1"/>
      <c r="W206" s="1"/>
      <c r="X206" s="1"/>
      <c r="Y206" s="1"/>
      <c r="Z206" s="1"/>
      <c r="AA206" s="1"/>
      <c r="AB206" s="1"/>
      <c r="AC206" s="146"/>
      <c r="AD206" s="428"/>
      <c r="AG206" s="428"/>
      <c r="AH206" s="428"/>
      <c r="AI206" s="428"/>
      <c r="AJ206" s="428"/>
      <c r="AK206" s="428"/>
      <c r="AL206" s="146"/>
    </row>
    <row r="207" spans="2:38" x14ac:dyDescent="0.25">
      <c r="B207" s="1052" t="s">
        <v>5</v>
      </c>
      <c r="C207" s="884" t="s">
        <v>70</v>
      </c>
      <c r="D207" s="868"/>
      <c r="E207" s="1082"/>
      <c r="F207" s="1083"/>
      <c r="G207" s="868"/>
      <c r="H207" s="869"/>
      <c r="K207" s="1052" t="s">
        <v>5</v>
      </c>
      <c r="L207" s="884" t="s">
        <v>70</v>
      </c>
      <c r="M207" s="868"/>
      <c r="N207" s="1082"/>
      <c r="O207" s="1083"/>
      <c r="P207" s="868"/>
      <c r="Q207" s="869"/>
      <c r="T207" s="1098" t="s">
        <v>5</v>
      </c>
      <c r="U207" s="884" t="s">
        <v>70</v>
      </c>
      <c r="V207" s="868"/>
      <c r="W207" s="1082"/>
      <c r="X207" s="1082"/>
      <c r="Y207" s="1083"/>
      <c r="Z207" s="868"/>
      <c r="AA207" s="868"/>
      <c r="AB207" s="869"/>
      <c r="AC207" s="146"/>
      <c r="AD207" s="428"/>
      <c r="AG207" s="428"/>
      <c r="AH207" s="428"/>
      <c r="AI207" s="428"/>
      <c r="AJ207" s="428"/>
      <c r="AK207" s="428"/>
      <c r="AL207" s="146"/>
    </row>
    <row r="208" spans="2:38" x14ac:dyDescent="0.25">
      <c r="B208" s="1053"/>
      <c r="C208" s="1052" t="s">
        <v>71</v>
      </c>
      <c r="D208" s="1065" t="s">
        <v>133</v>
      </c>
      <c r="E208" s="1085" t="s">
        <v>102</v>
      </c>
      <c r="F208" s="1086"/>
      <c r="G208" s="85" t="s">
        <v>3</v>
      </c>
      <c r="H208" s="23" t="s">
        <v>4</v>
      </c>
      <c r="K208" s="1053"/>
      <c r="L208" s="5" t="s">
        <v>71</v>
      </c>
      <c r="M208" s="1065" t="s">
        <v>133</v>
      </c>
      <c r="N208" s="1085" t="s">
        <v>102</v>
      </c>
      <c r="O208" s="1086"/>
      <c r="P208" s="85" t="s">
        <v>3</v>
      </c>
      <c r="Q208" s="23" t="s">
        <v>4</v>
      </c>
      <c r="T208" s="1099"/>
      <c r="U208" s="1052" t="s">
        <v>71</v>
      </c>
      <c r="V208" s="1065" t="s">
        <v>133</v>
      </c>
      <c r="W208" s="1085" t="s">
        <v>102</v>
      </c>
      <c r="X208" s="1086"/>
      <c r="Y208" s="1085" t="s">
        <v>3</v>
      </c>
      <c r="Z208" s="1101"/>
      <c r="AA208" s="1102" t="s">
        <v>4</v>
      </c>
      <c r="AB208" s="1102"/>
      <c r="AC208" s="146"/>
      <c r="AD208" s="428"/>
      <c r="AG208" s="428"/>
      <c r="AH208" s="428"/>
      <c r="AI208" s="428"/>
      <c r="AJ208" s="428"/>
      <c r="AK208" s="428"/>
      <c r="AL208" s="146"/>
    </row>
    <row r="209" spans="2:38" x14ac:dyDescent="0.25">
      <c r="B209" s="1054"/>
      <c r="C209" s="1054"/>
      <c r="D209" s="1084"/>
      <c r="E209" s="1087"/>
      <c r="F209" s="1088"/>
      <c r="G209" s="26" t="s">
        <v>7</v>
      </c>
      <c r="H209" s="24" t="s">
        <v>7</v>
      </c>
      <c r="K209" s="1054"/>
      <c r="L209" s="8"/>
      <c r="M209" s="1084"/>
      <c r="N209" s="1087"/>
      <c r="O209" s="1088"/>
      <c r="P209" s="26" t="s">
        <v>7</v>
      </c>
      <c r="Q209" s="24" t="s">
        <v>7</v>
      </c>
      <c r="T209" s="1100"/>
      <c r="U209" s="1054"/>
      <c r="V209" s="1084"/>
      <c r="W209" s="1087"/>
      <c r="X209" s="1088"/>
      <c r="Y209" s="37" t="s">
        <v>148</v>
      </c>
      <c r="Z209" s="37" t="s">
        <v>7</v>
      </c>
      <c r="AA209" s="37" t="s">
        <v>148</v>
      </c>
      <c r="AB209" s="37" t="s">
        <v>7</v>
      </c>
      <c r="AC209" s="146"/>
      <c r="AD209" s="428"/>
      <c r="AG209" s="428"/>
      <c r="AH209" s="428"/>
      <c r="AI209" s="428"/>
      <c r="AJ209" s="428"/>
      <c r="AK209" s="428"/>
      <c r="AL209" s="146"/>
    </row>
    <row r="210" spans="2:38" x14ac:dyDescent="0.25">
      <c r="B210" s="11">
        <v>1</v>
      </c>
      <c r="C210" s="11">
        <v>2</v>
      </c>
      <c r="D210" s="11" t="s">
        <v>95</v>
      </c>
      <c r="E210" s="873" t="s">
        <v>99</v>
      </c>
      <c r="F210" s="874"/>
      <c r="G210" s="11" t="s">
        <v>100</v>
      </c>
      <c r="H210" s="22" t="s">
        <v>101</v>
      </c>
      <c r="K210" s="11">
        <v>1</v>
      </c>
      <c r="L210" s="11">
        <v>2</v>
      </c>
      <c r="M210" s="11" t="s">
        <v>95</v>
      </c>
      <c r="N210" s="873" t="s">
        <v>99</v>
      </c>
      <c r="O210" s="874"/>
      <c r="P210" s="11" t="s">
        <v>100</v>
      </c>
      <c r="Q210" s="22" t="s">
        <v>101</v>
      </c>
      <c r="T210" s="11">
        <v>1</v>
      </c>
      <c r="U210" s="11">
        <v>2</v>
      </c>
      <c r="V210" s="11" t="s">
        <v>95</v>
      </c>
      <c r="W210" s="1096" t="s">
        <v>99</v>
      </c>
      <c r="X210" s="1097"/>
      <c r="Y210" s="11" t="s">
        <v>153</v>
      </c>
      <c r="Z210" s="11" t="s">
        <v>100</v>
      </c>
      <c r="AA210" s="11" t="s">
        <v>152</v>
      </c>
      <c r="AB210" s="22" t="s">
        <v>101</v>
      </c>
      <c r="AC210" s="146"/>
      <c r="AD210" s="428"/>
      <c r="AG210" s="428"/>
      <c r="AH210" s="428"/>
      <c r="AI210" s="428"/>
      <c r="AJ210" s="428"/>
      <c r="AK210" s="428"/>
      <c r="AL210" s="146"/>
    </row>
    <row r="211" spans="2:38" x14ac:dyDescent="0.25">
      <c r="B211" s="12" t="s">
        <v>72</v>
      </c>
      <c r="C211" s="13" t="s">
        <v>104</v>
      </c>
      <c r="D211" s="13" t="s">
        <v>73</v>
      </c>
      <c r="E211" s="875" t="s">
        <v>403</v>
      </c>
      <c r="F211" s="859"/>
      <c r="G211" s="138">
        <f>'Kalkulace a Porovnání'!G211</f>
        <v>0</v>
      </c>
      <c r="H211" s="138">
        <f>'Kalkulace a Porovnání'!H211</f>
        <v>0</v>
      </c>
      <c r="K211" s="12" t="s">
        <v>72</v>
      </c>
      <c r="L211" s="13" t="s">
        <v>104</v>
      </c>
      <c r="M211" s="13" t="s">
        <v>73</v>
      </c>
      <c r="N211" s="875" t="s">
        <v>403</v>
      </c>
      <c r="O211" s="859"/>
      <c r="P211" s="138">
        <f>'Kalkulace a Porovnání'!P211</f>
        <v>0</v>
      </c>
      <c r="Q211" s="138">
        <f>'Kalkulace a Porovnání'!Q211</f>
        <v>0</v>
      </c>
      <c r="T211" s="12" t="s">
        <v>72</v>
      </c>
      <c r="U211" s="13" t="s">
        <v>104</v>
      </c>
      <c r="V211" s="13" t="s">
        <v>73</v>
      </c>
      <c r="W211" s="875" t="s">
        <v>403</v>
      </c>
      <c r="X211" s="859"/>
      <c r="Y211" s="138">
        <f>'Kalkulace a Porovnání'!Y211</f>
        <v>0</v>
      </c>
      <c r="Z211" s="138">
        <f>'Kalkulace a Porovnání'!Z211</f>
        <v>0</v>
      </c>
      <c r="AA211" s="138">
        <f>'Kalkulace a Porovnání'!AA211</f>
        <v>0</v>
      </c>
      <c r="AB211" s="138">
        <f>'Kalkulace a Porovnání'!AB211</f>
        <v>0</v>
      </c>
      <c r="AC211" s="146"/>
      <c r="AD211" s="428"/>
      <c r="AG211" s="428"/>
      <c r="AH211" s="428"/>
      <c r="AI211" s="428"/>
      <c r="AJ211" s="428"/>
      <c r="AK211" s="428"/>
      <c r="AL211" s="146"/>
    </row>
    <row r="212" spans="2:38" x14ac:dyDescent="0.25">
      <c r="B212" s="12" t="s">
        <v>74</v>
      </c>
      <c r="C212" s="13" t="s">
        <v>358</v>
      </c>
      <c r="D212" s="13" t="s">
        <v>10</v>
      </c>
      <c r="E212" s="858" t="s">
        <v>404</v>
      </c>
      <c r="F212" s="870"/>
      <c r="G212" s="138">
        <f>G213+G214</f>
        <v>0</v>
      </c>
      <c r="H212" s="138">
        <f>H213+H214</f>
        <v>0</v>
      </c>
      <c r="K212" s="12" t="s">
        <v>74</v>
      </c>
      <c r="L212" s="13" t="s">
        <v>358</v>
      </c>
      <c r="M212" s="13" t="s">
        <v>10</v>
      </c>
      <c r="N212" s="858" t="s">
        <v>404</v>
      </c>
      <c r="O212" s="870"/>
      <c r="P212" s="138">
        <f>P213+P214</f>
        <v>0</v>
      </c>
      <c r="Q212" s="138">
        <f>Q213+Q214</f>
        <v>0</v>
      </c>
      <c r="T212" s="12" t="s">
        <v>74</v>
      </c>
      <c r="U212" s="13" t="s">
        <v>358</v>
      </c>
      <c r="V212" s="13" t="s">
        <v>10</v>
      </c>
      <c r="W212" s="858" t="s">
        <v>404</v>
      </c>
      <c r="X212" s="870"/>
      <c r="Y212" s="138">
        <f t="shared" ref="Y212:AB212" si="2">Y213+Y214</f>
        <v>0</v>
      </c>
      <c r="Z212" s="138">
        <f t="shared" si="2"/>
        <v>0</v>
      </c>
      <c r="AA212" s="138">
        <f t="shared" si="2"/>
        <v>0</v>
      </c>
      <c r="AB212" s="138">
        <f t="shared" si="2"/>
        <v>0</v>
      </c>
      <c r="AC212" s="146"/>
      <c r="AD212" s="428"/>
      <c r="AG212" s="428"/>
      <c r="AH212" s="428"/>
      <c r="AI212" s="428"/>
      <c r="AJ212" s="428"/>
      <c r="AK212" s="428"/>
      <c r="AL212" s="146"/>
    </row>
    <row r="213" spans="2:38" x14ac:dyDescent="0.25">
      <c r="B213" s="12" t="s">
        <v>352</v>
      </c>
      <c r="C213" s="13" t="s">
        <v>359</v>
      </c>
      <c r="D213" s="13" t="s">
        <v>10</v>
      </c>
      <c r="E213" s="871"/>
      <c r="F213" s="872"/>
      <c r="G213" s="138">
        <f>'Kalkulace a Porovnání'!G213</f>
        <v>0</v>
      </c>
      <c r="H213" s="138">
        <f>'Kalkulace a Porovnání'!H213</f>
        <v>0</v>
      </c>
      <c r="K213" s="12" t="s">
        <v>352</v>
      </c>
      <c r="L213" s="13" t="s">
        <v>359</v>
      </c>
      <c r="M213" s="13" t="s">
        <v>10</v>
      </c>
      <c r="N213" s="871"/>
      <c r="O213" s="872"/>
      <c r="P213" s="138">
        <f>'Kalkulace a Porovnání'!P213</f>
        <v>0</v>
      </c>
      <c r="Q213" s="138">
        <f>'Kalkulace a Porovnání'!Q213</f>
        <v>0</v>
      </c>
      <c r="T213" s="12" t="s">
        <v>352</v>
      </c>
      <c r="U213" s="13" t="s">
        <v>359</v>
      </c>
      <c r="V213" s="13" t="s">
        <v>10</v>
      </c>
      <c r="W213" s="871"/>
      <c r="X213" s="872"/>
      <c r="Y213" s="138">
        <f>'Kalkulace a Porovnání'!Y213</f>
        <v>0</v>
      </c>
      <c r="Z213" s="138">
        <f>'Kalkulace a Porovnání'!Z213</f>
        <v>0</v>
      </c>
      <c r="AA213" s="138">
        <f>'Kalkulace a Porovnání'!AA213</f>
        <v>0</v>
      </c>
      <c r="AB213" s="138">
        <f>'Kalkulace a Porovnání'!AB213</f>
        <v>0</v>
      </c>
      <c r="AC213" s="146"/>
      <c r="AD213" s="428"/>
      <c r="AG213" s="428"/>
      <c r="AH213" s="428"/>
      <c r="AI213" s="428"/>
      <c r="AJ213" s="428"/>
      <c r="AK213" s="428"/>
      <c r="AL213" s="146"/>
    </row>
    <row r="214" spans="2:38" x14ac:dyDescent="0.25">
      <c r="B214" s="12" t="s">
        <v>361</v>
      </c>
      <c r="C214" s="13" t="s">
        <v>360</v>
      </c>
      <c r="D214" s="13" t="s">
        <v>10</v>
      </c>
      <c r="E214" s="884"/>
      <c r="F214" s="869"/>
      <c r="G214" s="138">
        <f>'Kalkulace a Porovnání'!G214</f>
        <v>0</v>
      </c>
      <c r="H214" s="138">
        <f>'Kalkulace a Porovnání'!H214</f>
        <v>0</v>
      </c>
      <c r="K214" s="12" t="s">
        <v>361</v>
      </c>
      <c r="L214" s="13" t="s">
        <v>360</v>
      </c>
      <c r="M214" s="13" t="s">
        <v>10</v>
      </c>
      <c r="N214" s="884"/>
      <c r="O214" s="869"/>
      <c r="P214" s="138">
        <f>'Kalkulace a Porovnání'!P214</f>
        <v>0</v>
      </c>
      <c r="Q214" s="138">
        <f>'Kalkulace a Porovnání'!Q214</f>
        <v>0</v>
      </c>
      <c r="T214" s="12" t="s">
        <v>361</v>
      </c>
      <c r="U214" s="13" t="s">
        <v>360</v>
      </c>
      <c r="V214" s="13" t="s">
        <v>10</v>
      </c>
      <c r="W214" s="884"/>
      <c r="X214" s="869"/>
      <c r="Y214" s="138">
        <f>'Kalkulace a Porovnání'!Y214</f>
        <v>0</v>
      </c>
      <c r="Z214" s="138">
        <f>'Kalkulace a Porovnání'!Z214</f>
        <v>0</v>
      </c>
      <c r="AA214" s="138">
        <f>'Kalkulace a Porovnání'!AA214</f>
        <v>0</v>
      </c>
      <c r="AB214" s="138">
        <f>'Kalkulace a Porovnání'!AB214</f>
        <v>0</v>
      </c>
      <c r="AC214" s="146"/>
      <c r="AD214" s="428"/>
      <c r="AG214" s="428"/>
      <c r="AH214" s="428"/>
      <c r="AI214" s="428"/>
      <c r="AJ214" s="428"/>
      <c r="AK214" s="428"/>
      <c r="AL214" s="146"/>
    </row>
    <row r="215" spans="2:38" x14ac:dyDescent="0.25">
      <c r="B215" s="12" t="s">
        <v>75</v>
      </c>
      <c r="C215" s="13" t="s">
        <v>396</v>
      </c>
      <c r="D215" s="13" t="s">
        <v>10</v>
      </c>
      <c r="E215" s="858" t="s">
        <v>405</v>
      </c>
      <c r="F215" s="859"/>
      <c r="G215" s="341">
        <f>'Kalkulace a Porovnání'!G215</f>
        <v>0</v>
      </c>
      <c r="H215" s="341">
        <f>'Kalkulace a Porovnání'!H215</f>
        <v>0</v>
      </c>
      <c r="K215" s="12" t="s">
        <v>75</v>
      </c>
      <c r="L215" s="13" t="s">
        <v>396</v>
      </c>
      <c r="M215" s="13" t="s">
        <v>10</v>
      </c>
      <c r="N215" s="858" t="s">
        <v>405</v>
      </c>
      <c r="O215" s="859"/>
      <c r="P215" s="341">
        <f>'Kalkulace a Porovnání'!P215</f>
        <v>0</v>
      </c>
      <c r="Q215" s="341">
        <f>'Kalkulace a Porovnání'!Q215</f>
        <v>0</v>
      </c>
      <c r="T215" s="12" t="s">
        <v>75</v>
      </c>
      <c r="U215" s="13" t="s">
        <v>396</v>
      </c>
      <c r="V215" s="13" t="s">
        <v>10</v>
      </c>
      <c r="W215" s="858" t="s">
        <v>405</v>
      </c>
      <c r="X215" s="859"/>
      <c r="Y215" s="341">
        <f>'Kalkulace a Porovnání'!Y215</f>
        <v>0</v>
      </c>
      <c r="Z215" s="341">
        <f>'Kalkulace a Porovnání'!Z215</f>
        <v>0</v>
      </c>
      <c r="AA215" s="341">
        <f>'Kalkulace a Porovnání'!AA215</f>
        <v>0</v>
      </c>
      <c r="AB215" s="341">
        <f>'Kalkulace a Porovnání'!AB215</f>
        <v>0</v>
      </c>
      <c r="AC215" s="146"/>
      <c r="AD215" s="428"/>
      <c r="AG215" s="428"/>
      <c r="AH215" s="428"/>
      <c r="AI215" s="428"/>
      <c r="AJ215" s="428"/>
      <c r="AK215" s="428"/>
      <c r="AL215" s="146"/>
    </row>
    <row r="216" spans="2:38" x14ac:dyDescent="0.25">
      <c r="B216" s="12" t="s">
        <v>76</v>
      </c>
      <c r="C216" s="13" t="s">
        <v>373</v>
      </c>
      <c r="D216" s="13" t="s">
        <v>10</v>
      </c>
      <c r="E216" s="858"/>
      <c r="F216" s="859"/>
      <c r="G216" s="341">
        <f>'Kalkulace a Porovnání'!G216</f>
        <v>0</v>
      </c>
      <c r="H216" s="341">
        <f>'Kalkulace a Porovnání'!H216</f>
        <v>0</v>
      </c>
      <c r="K216" s="12" t="s">
        <v>76</v>
      </c>
      <c r="L216" s="13" t="s">
        <v>373</v>
      </c>
      <c r="M216" s="13" t="s">
        <v>10</v>
      </c>
      <c r="N216" s="858"/>
      <c r="O216" s="859"/>
      <c r="P216" s="341">
        <f>'Kalkulace a Porovnání'!P216</f>
        <v>0</v>
      </c>
      <c r="Q216" s="341">
        <f>'Kalkulace a Porovnání'!Q216</f>
        <v>0</v>
      </c>
      <c r="T216" s="12" t="s">
        <v>76</v>
      </c>
      <c r="U216" s="13" t="s">
        <v>373</v>
      </c>
      <c r="V216" s="13" t="s">
        <v>10</v>
      </c>
      <c r="W216" s="858"/>
      <c r="X216" s="859"/>
      <c r="Y216" s="341">
        <f>'Kalkulace a Porovnání'!Y216</f>
        <v>2.3999896640999999E-2</v>
      </c>
      <c r="Z216" s="341">
        <f>'Kalkulace a Porovnání'!Z216</f>
        <v>0</v>
      </c>
      <c r="AA216" s="341">
        <f>'Kalkulace a Porovnání'!AA216</f>
        <v>0.100000278</v>
      </c>
      <c r="AB216" s="341">
        <f>'Kalkulace a Porovnání'!AB216</f>
        <v>0</v>
      </c>
      <c r="AC216" s="146"/>
      <c r="AD216" s="428"/>
      <c r="AG216" s="428"/>
      <c r="AH216" s="428"/>
      <c r="AI216" s="428"/>
      <c r="AJ216" s="428"/>
      <c r="AK216" s="428"/>
      <c r="AL216" s="146"/>
    </row>
    <row r="217" spans="2:38" x14ac:dyDescent="0.25">
      <c r="B217" s="12" t="s">
        <v>78</v>
      </c>
      <c r="C217" s="21" t="s">
        <v>402</v>
      </c>
      <c r="D217" s="13" t="s">
        <v>77</v>
      </c>
      <c r="E217" s="875" t="s">
        <v>406</v>
      </c>
      <c r="F217" s="859"/>
      <c r="G217" s="138">
        <f>'Kalkulace a Porovnání'!G217</f>
        <v>0</v>
      </c>
      <c r="H217" s="138">
        <f>'Kalkulace a Porovnání'!H217</f>
        <v>0</v>
      </c>
      <c r="K217" s="12" t="s">
        <v>78</v>
      </c>
      <c r="L217" s="21" t="s">
        <v>402</v>
      </c>
      <c r="M217" s="13" t="s">
        <v>77</v>
      </c>
      <c r="N217" s="875" t="s">
        <v>406</v>
      </c>
      <c r="O217" s="859"/>
      <c r="P217" s="138">
        <f>'Kalkulace a Porovnání'!P217</f>
        <v>0</v>
      </c>
      <c r="Q217" s="138">
        <f>'Kalkulace a Porovnání'!Q217</f>
        <v>0</v>
      </c>
      <c r="T217" s="12" t="s">
        <v>78</v>
      </c>
      <c r="U217" s="21" t="s">
        <v>402</v>
      </c>
      <c r="V217" s="13" t="s">
        <v>77</v>
      </c>
      <c r="W217" s="875" t="s">
        <v>406</v>
      </c>
      <c r="X217" s="859"/>
      <c r="Y217" s="138">
        <f>'Kalkulace a Porovnání'!Y217</f>
        <v>0</v>
      </c>
      <c r="Z217" s="138">
        <f>'Kalkulace a Porovnání'!Z217</f>
        <v>0</v>
      </c>
      <c r="AA217" s="138">
        <f>'Kalkulace a Porovnání'!AA217</f>
        <v>0</v>
      </c>
      <c r="AB217" s="138">
        <f>'Kalkulace a Porovnání'!AB217</f>
        <v>0</v>
      </c>
      <c r="AC217" s="146"/>
      <c r="AD217" s="428"/>
      <c r="AG217" s="428"/>
      <c r="AH217" s="428"/>
      <c r="AI217" s="428"/>
      <c r="AJ217" s="428"/>
      <c r="AK217" s="428"/>
      <c r="AL217" s="146"/>
    </row>
    <row r="218" spans="2:38" x14ac:dyDescent="0.25">
      <c r="B218" s="12" t="s">
        <v>79</v>
      </c>
      <c r="C218" s="21" t="s">
        <v>408</v>
      </c>
      <c r="D218" s="13" t="s">
        <v>10</v>
      </c>
      <c r="E218" s="858" t="s">
        <v>407</v>
      </c>
      <c r="F218" s="859"/>
      <c r="G218" s="341">
        <f>'Kalkulace a Porovnání'!G218</f>
        <v>0</v>
      </c>
      <c r="H218" s="341">
        <f>'Kalkulace a Porovnání'!H218</f>
        <v>0</v>
      </c>
      <c r="K218" s="12" t="s">
        <v>79</v>
      </c>
      <c r="L218" s="21" t="s">
        <v>408</v>
      </c>
      <c r="M218" s="13" t="s">
        <v>10</v>
      </c>
      <c r="N218" s="858" t="s">
        <v>407</v>
      </c>
      <c r="O218" s="859"/>
      <c r="P218" s="341">
        <f>'Kalkulace a Porovnání'!P218</f>
        <v>0</v>
      </c>
      <c r="Q218" s="341">
        <f>'Kalkulace a Porovnání'!Q218</f>
        <v>0</v>
      </c>
      <c r="T218" s="12" t="s">
        <v>79</v>
      </c>
      <c r="U218" s="21" t="s">
        <v>408</v>
      </c>
      <c r="V218" s="13" t="s">
        <v>10</v>
      </c>
      <c r="W218" s="858" t="s">
        <v>407</v>
      </c>
      <c r="X218" s="859"/>
      <c r="Y218" s="341">
        <f>'Kalkulace a Porovnání'!Y218</f>
        <v>0</v>
      </c>
      <c r="Z218" s="341">
        <f>'Kalkulace a Porovnání'!Z218</f>
        <v>0</v>
      </c>
      <c r="AA218" s="341">
        <f>'Kalkulace a Porovnání'!AA218</f>
        <v>0</v>
      </c>
      <c r="AB218" s="341">
        <f>'Kalkulace a Porovnání'!AB218</f>
        <v>0</v>
      </c>
      <c r="AC218" s="146"/>
      <c r="AD218" s="428"/>
      <c r="AG218" s="428"/>
      <c r="AH218" s="428"/>
      <c r="AI218" s="428"/>
      <c r="AJ218" s="428"/>
      <c r="AK218" s="428"/>
      <c r="AL218" s="146"/>
    </row>
    <row r="219" spans="2:38" x14ac:dyDescent="0.25">
      <c r="B219" s="12" t="s">
        <v>80</v>
      </c>
      <c r="C219" s="21" t="s">
        <v>354</v>
      </c>
      <c r="D219" s="13" t="s">
        <v>10</v>
      </c>
      <c r="E219" s="858" t="s">
        <v>409</v>
      </c>
      <c r="F219" s="870"/>
      <c r="G219" s="341">
        <f>'Kalkulace a Porovnání'!G219</f>
        <v>0</v>
      </c>
      <c r="H219" s="341">
        <f>'Kalkulace a Porovnání'!H219</f>
        <v>0</v>
      </c>
      <c r="K219" s="12" t="s">
        <v>80</v>
      </c>
      <c r="L219" s="21" t="s">
        <v>354</v>
      </c>
      <c r="M219" s="13" t="s">
        <v>10</v>
      </c>
      <c r="N219" s="858" t="s">
        <v>409</v>
      </c>
      <c r="O219" s="870"/>
      <c r="P219" s="341">
        <f>'Kalkulace a Porovnání'!P219</f>
        <v>0</v>
      </c>
      <c r="Q219" s="341">
        <f>'Kalkulace a Porovnání'!Q219</f>
        <v>0</v>
      </c>
      <c r="T219" s="12" t="s">
        <v>80</v>
      </c>
      <c r="U219" s="21" t="s">
        <v>354</v>
      </c>
      <c r="V219" s="13" t="s">
        <v>10</v>
      </c>
      <c r="W219" s="858" t="s">
        <v>409</v>
      </c>
      <c r="X219" s="870"/>
      <c r="Y219" s="341">
        <f>'Kalkulace a Porovnání'!Y219</f>
        <v>2.3999896640999999E-2</v>
      </c>
      <c r="Z219" s="341">
        <f>'Kalkulace a Porovnání'!Z219</f>
        <v>0</v>
      </c>
      <c r="AA219" s="341">
        <f>'Kalkulace a Porovnání'!AA219</f>
        <v>0.100000278</v>
      </c>
      <c r="AB219" s="341">
        <f>'Kalkulace a Porovnání'!AB219</f>
        <v>0</v>
      </c>
      <c r="AC219" s="146"/>
      <c r="AD219" s="428"/>
      <c r="AG219" s="428"/>
      <c r="AH219" s="428"/>
      <c r="AI219" s="428"/>
      <c r="AJ219" s="428"/>
      <c r="AK219" s="428"/>
      <c r="AL219" s="146"/>
    </row>
    <row r="220" spans="2:38" x14ac:dyDescent="0.25">
      <c r="B220" s="12" t="s">
        <v>82</v>
      </c>
      <c r="C220" s="13" t="s">
        <v>395</v>
      </c>
      <c r="D220" s="13" t="s">
        <v>10</v>
      </c>
      <c r="E220" s="858" t="s">
        <v>410</v>
      </c>
      <c r="F220" s="859"/>
      <c r="G220" s="341">
        <f>'Kalkulace a Porovnání'!G220</f>
        <v>0</v>
      </c>
      <c r="H220" s="341">
        <f>'Kalkulace a Porovnání'!H220</f>
        <v>0</v>
      </c>
      <c r="K220" s="12" t="s">
        <v>82</v>
      </c>
      <c r="L220" s="13" t="s">
        <v>395</v>
      </c>
      <c r="M220" s="13" t="s">
        <v>10</v>
      </c>
      <c r="N220" s="858" t="s">
        <v>410</v>
      </c>
      <c r="O220" s="859"/>
      <c r="P220" s="341">
        <f>'Kalkulace a Porovnání'!P220</f>
        <v>0</v>
      </c>
      <c r="Q220" s="341">
        <f>'Kalkulace a Porovnání'!Q220</f>
        <v>0</v>
      </c>
      <c r="T220" s="12" t="s">
        <v>82</v>
      </c>
      <c r="U220" s="13" t="s">
        <v>395</v>
      </c>
      <c r="V220" s="13" t="s">
        <v>10</v>
      </c>
      <c r="W220" s="858" t="s">
        <v>410</v>
      </c>
      <c r="X220" s="859"/>
      <c r="Y220" s="341">
        <f>'Kalkulace a Porovnání'!Y220</f>
        <v>2.3999896640999999E-2</v>
      </c>
      <c r="Z220" s="341">
        <f>'Kalkulace a Porovnání'!Z220</f>
        <v>0</v>
      </c>
      <c r="AA220" s="341">
        <f>'Kalkulace a Porovnání'!AA220</f>
        <v>0.100000278</v>
      </c>
      <c r="AB220" s="341">
        <f>'Kalkulace a Porovnání'!AB220</f>
        <v>0</v>
      </c>
      <c r="AC220" s="146"/>
      <c r="AD220" s="428"/>
      <c r="AG220" s="428"/>
      <c r="AH220" s="428"/>
      <c r="AI220" s="428"/>
      <c r="AJ220" s="428"/>
      <c r="AK220" s="428"/>
      <c r="AL220" s="146"/>
    </row>
    <row r="221" spans="2:38" x14ac:dyDescent="0.25">
      <c r="B221" s="12" t="s">
        <v>83</v>
      </c>
      <c r="C221" s="13" t="s">
        <v>81</v>
      </c>
      <c r="D221" s="13" t="s">
        <v>58</v>
      </c>
      <c r="E221" s="858" t="s">
        <v>411</v>
      </c>
      <c r="F221" s="859"/>
      <c r="G221" s="341">
        <f>'Kalkulace a Porovnání'!G221</f>
        <v>0</v>
      </c>
      <c r="H221" s="341">
        <f>'Kalkulace a Porovnání'!H221</f>
        <v>0</v>
      </c>
      <c r="K221" s="12" t="s">
        <v>83</v>
      </c>
      <c r="L221" s="13" t="s">
        <v>81</v>
      </c>
      <c r="M221" s="13" t="s">
        <v>58</v>
      </c>
      <c r="N221" s="858" t="s">
        <v>411</v>
      </c>
      <c r="O221" s="859"/>
      <c r="P221" s="341">
        <f>'Kalkulace a Porovnání'!P221</f>
        <v>0</v>
      </c>
      <c r="Q221" s="341">
        <f>'Kalkulace a Porovnání'!Q221</f>
        <v>0</v>
      </c>
      <c r="T221" s="12" t="s">
        <v>83</v>
      </c>
      <c r="U221" s="13" t="s">
        <v>81</v>
      </c>
      <c r="V221" s="13" t="s">
        <v>58</v>
      </c>
      <c r="W221" s="858" t="s">
        <v>411</v>
      </c>
      <c r="X221" s="859"/>
      <c r="Y221" s="341">
        <f>'Kalkulace a Porovnání'!Y221</f>
        <v>0</v>
      </c>
      <c r="Z221" s="341">
        <f>'Kalkulace a Porovnání'!Z221</f>
        <v>0</v>
      </c>
      <c r="AA221" s="341">
        <f>'Kalkulace a Porovnání'!AA221</f>
        <v>0</v>
      </c>
      <c r="AB221" s="341">
        <f>'Kalkulace a Porovnání'!AB221</f>
        <v>0</v>
      </c>
      <c r="AC221" s="146"/>
      <c r="AD221" s="428"/>
      <c r="AG221" s="428"/>
      <c r="AH221" s="428"/>
      <c r="AI221" s="428"/>
      <c r="AJ221" s="428"/>
      <c r="AK221" s="428"/>
      <c r="AL221" s="146"/>
    </row>
    <row r="222" spans="2:38" x14ac:dyDescent="0.25">
      <c r="B222" s="12" t="s">
        <v>155</v>
      </c>
      <c r="C222" s="13" t="s">
        <v>393</v>
      </c>
      <c r="D222" s="13" t="s">
        <v>73</v>
      </c>
      <c r="E222" s="854" t="s">
        <v>412</v>
      </c>
      <c r="F222" s="855"/>
      <c r="G222" s="138">
        <f>'Kalkulace a Porovnání'!G222</f>
        <v>0</v>
      </c>
      <c r="H222" s="138">
        <f>'Kalkulace a Porovnání'!H222</f>
        <v>0</v>
      </c>
      <c r="K222" s="12" t="s">
        <v>155</v>
      </c>
      <c r="L222" s="13" t="s">
        <v>393</v>
      </c>
      <c r="M222" s="13" t="s">
        <v>73</v>
      </c>
      <c r="N222" s="854" t="s">
        <v>412</v>
      </c>
      <c r="O222" s="855"/>
      <c r="P222" s="138">
        <f>'Kalkulace a Porovnání'!P222</f>
        <v>0</v>
      </c>
      <c r="Q222" s="138">
        <f>'Kalkulace a Porovnání'!Q222</f>
        <v>0</v>
      </c>
      <c r="T222" s="12" t="s">
        <v>155</v>
      </c>
      <c r="U222" s="13" t="s">
        <v>393</v>
      </c>
      <c r="V222" s="13" t="s">
        <v>73</v>
      </c>
      <c r="W222" s="854" t="s">
        <v>412</v>
      </c>
      <c r="X222" s="855"/>
      <c r="Y222" s="138">
        <f>'Kalkulace a Porovnání'!Y222</f>
        <v>0</v>
      </c>
      <c r="Z222" s="138">
        <f>'Kalkulace a Porovnání'!Z222</f>
        <v>0</v>
      </c>
      <c r="AA222" s="138">
        <f>'Kalkulace a Porovnání'!AA222</f>
        <v>0</v>
      </c>
      <c r="AB222" s="138">
        <f>'Kalkulace a Porovnání'!AB222</f>
        <v>0</v>
      </c>
      <c r="AC222" s="146"/>
      <c r="AD222" s="428"/>
      <c r="AG222" s="428"/>
      <c r="AH222" s="428"/>
      <c r="AI222" s="428"/>
      <c r="AJ222" s="428"/>
      <c r="AK222" s="428"/>
      <c r="AL222" s="146"/>
    </row>
    <row r="223" spans="2:38" x14ac:dyDescent="0.25">
      <c r="B223" s="12" t="s">
        <v>355</v>
      </c>
      <c r="C223" s="13" t="str">
        <f>CONCATENATE("UPLATŇOVANÁ CENA pro vodné, stočné + ",Provozování!E239*100,"% DPH")</f>
        <v>UPLATŇOVANÁ CENA pro vodné, stočné + 0% DPH</v>
      </c>
      <c r="D223" s="13" t="s">
        <v>73</v>
      </c>
      <c r="E223" s="854" t="s">
        <v>413</v>
      </c>
      <c r="F223" s="855"/>
      <c r="G223" s="138">
        <f>'Kalkulace a Porovnání'!G223</f>
        <v>0</v>
      </c>
      <c r="H223" s="138">
        <f>'Kalkulace a Porovnání'!H223</f>
        <v>0</v>
      </c>
      <c r="K223" s="12" t="s">
        <v>355</v>
      </c>
      <c r="L223" s="13" t="str">
        <f>C223</f>
        <v>UPLATŇOVANÁ CENA pro vodné, stočné + 0% DPH</v>
      </c>
      <c r="M223" s="13" t="s">
        <v>73</v>
      </c>
      <c r="N223" s="854" t="s">
        <v>413</v>
      </c>
      <c r="O223" s="855"/>
      <c r="P223" s="138">
        <f>'Kalkulace a Porovnání'!P223</f>
        <v>0</v>
      </c>
      <c r="Q223" s="138">
        <f>'Kalkulace a Porovnání'!Q223</f>
        <v>0</v>
      </c>
      <c r="T223" s="12" t="s">
        <v>355</v>
      </c>
      <c r="U223" s="13" t="str">
        <f>C223</f>
        <v>UPLATŇOVANÁ CENA pro vodné, stočné + 0% DPH</v>
      </c>
      <c r="V223" s="13" t="s">
        <v>73</v>
      </c>
      <c r="W223" s="854" t="s">
        <v>413</v>
      </c>
      <c r="X223" s="855"/>
      <c r="Y223" s="138">
        <f>'Kalkulace a Porovnání'!Y223</f>
        <v>0</v>
      </c>
      <c r="Z223" s="138">
        <f>'Kalkulace a Porovnání'!Z223</f>
        <v>0</v>
      </c>
      <c r="AA223" s="138">
        <f>'Kalkulace a Porovnání'!AA223</f>
        <v>0</v>
      </c>
      <c r="AB223" s="138">
        <f>'Kalkulace a Porovnání'!AB223</f>
        <v>0</v>
      </c>
      <c r="AC223" s="146"/>
      <c r="AD223" s="428"/>
      <c r="AG223" s="428"/>
      <c r="AH223" s="428"/>
      <c r="AI223" s="428"/>
      <c r="AJ223" s="428"/>
      <c r="AK223" s="428"/>
      <c r="AL223" s="146"/>
    </row>
    <row r="224" spans="2:38" x14ac:dyDescent="0.25">
      <c r="B224" s="210" t="s">
        <v>356</v>
      </c>
      <c r="C224" s="244" t="s">
        <v>357</v>
      </c>
      <c r="D224" s="244"/>
      <c r="E224" s="884" t="s">
        <v>414</v>
      </c>
      <c r="F224" s="869"/>
      <c r="G224" s="138">
        <f>'Kalkulace a Porovnání'!G224</f>
        <v>0</v>
      </c>
      <c r="H224" s="138">
        <f>'Kalkulace a Porovnání'!H224</f>
        <v>0</v>
      </c>
      <c r="K224" s="210" t="s">
        <v>356</v>
      </c>
      <c r="L224" s="244" t="s">
        <v>357</v>
      </c>
      <c r="M224" s="244"/>
      <c r="N224" s="884" t="s">
        <v>414</v>
      </c>
      <c r="O224" s="869"/>
      <c r="P224" s="138">
        <f>'Kalkulace a Porovnání'!P224</f>
        <v>0</v>
      </c>
      <c r="Q224" s="138">
        <f>'Kalkulace a Porovnání'!Q224</f>
        <v>0</v>
      </c>
      <c r="T224" s="12" t="s">
        <v>356</v>
      </c>
      <c r="U224" s="13" t="s">
        <v>357</v>
      </c>
      <c r="V224" s="13"/>
      <c r="W224" s="884" t="s">
        <v>414</v>
      </c>
      <c r="X224" s="869"/>
      <c r="Y224" s="530">
        <f>'Kalkulace a Porovnání'!Y224</f>
        <v>0</v>
      </c>
      <c r="Z224" s="530">
        <f>'Kalkulace a Porovnání'!Z224</f>
        <v>0</v>
      </c>
      <c r="AA224" s="530">
        <f>'Kalkulace a Porovnání'!AA224</f>
        <v>0</v>
      </c>
      <c r="AB224" s="530">
        <f>'Kalkulace a Porovnání'!AB224</f>
        <v>0</v>
      </c>
      <c r="AC224" s="146"/>
      <c r="AD224" s="428"/>
      <c r="AG224" s="428"/>
      <c r="AH224" s="428"/>
      <c r="AI224" s="428"/>
      <c r="AJ224" s="428"/>
      <c r="AK224" s="428"/>
      <c r="AL224" s="146"/>
    </row>
    <row r="225" spans="2:38" x14ac:dyDescent="0.25">
      <c r="B225" s="29"/>
      <c r="C225" s="29"/>
      <c r="D225" s="29"/>
      <c r="E225" s="29"/>
      <c r="F225" s="29"/>
      <c r="G225" s="29"/>
      <c r="H225" s="29"/>
      <c r="I225" s="29"/>
      <c r="J225" s="29"/>
      <c r="K225" s="29"/>
      <c r="L225" s="29"/>
      <c r="M225" s="29"/>
      <c r="N225" s="29"/>
      <c r="O225" s="29"/>
      <c r="P225" s="29"/>
      <c r="Q225" s="29"/>
      <c r="R225" s="29"/>
      <c r="T225" s="1121" t="s">
        <v>364</v>
      </c>
      <c r="U225" s="1121" t="s">
        <v>154</v>
      </c>
      <c r="V225" s="1122" t="s">
        <v>10</v>
      </c>
      <c r="W225" s="854" t="s">
        <v>156</v>
      </c>
      <c r="X225" s="858"/>
      <c r="Y225" s="89" t="s">
        <v>158</v>
      </c>
      <c r="Z225" s="92" t="s">
        <v>159</v>
      </c>
      <c r="AA225" s="89" t="s">
        <v>158</v>
      </c>
      <c r="AB225" s="92" t="s">
        <v>159</v>
      </c>
      <c r="AC225" s="146"/>
      <c r="AD225" s="428"/>
      <c r="AG225" s="428"/>
      <c r="AH225" s="428"/>
      <c r="AI225" s="428"/>
      <c r="AJ225" s="428"/>
      <c r="AK225" s="428"/>
      <c r="AL225" s="146"/>
    </row>
    <row r="226" spans="2:38" x14ac:dyDescent="0.25">
      <c r="B226" s="383"/>
      <c r="C226" s="382"/>
      <c r="D226" s="382"/>
      <c r="E226" s="382"/>
      <c r="F226" s="382"/>
      <c r="G226" s="29"/>
      <c r="H226" s="29"/>
      <c r="I226" s="29"/>
      <c r="J226" s="29"/>
      <c r="K226" s="29"/>
      <c r="L226" s="29"/>
      <c r="M226" s="29"/>
      <c r="N226" s="29"/>
      <c r="O226" s="29"/>
      <c r="P226" s="29"/>
      <c r="Q226" s="29"/>
      <c r="R226" s="29"/>
      <c r="T226" s="1121"/>
      <c r="U226" s="1121"/>
      <c r="V226" s="1122"/>
      <c r="W226" s="1123">
        <f>'Kalkulace a Porovnání'!W226</f>
        <v>0</v>
      </c>
      <c r="X226" s="1124"/>
      <c r="Y226" s="90">
        <f>'Kalkulace a Porovnání'!Y226</f>
        <v>2026</v>
      </c>
      <c r="Z226" s="90">
        <f>'Kalkulace a Porovnání'!Z226</f>
        <v>2026</v>
      </c>
      <c r="AA226" s="90">
        <f>'Kalkulace a Porovnání'!AA226</f>
        <v>2026</v>
      </c>
      <c r="AB226" s="90">
        <f>'Kalkulace a Porovnání'!AB226</f>
        <v>2026</v>
      </c>
      <c r="AC226" s="146"/>
      <c r="AD226" s="428"/>
      <c r="AG226" s="428"/>
      <c r="AH226" s="428"/>
      <c r="AI226" s="428"/>
      <c r="AJ226" s="428"/>
      <c r="AK226" s="428"/>
      <c r="AL226" s="146"/>
    </row>
    <row r="227" spans="2:38" x14ac:dyDescent="0.25">
      <c r="B227" s="383"/>
      <c r="C227" s="382"/>
      <c r="D227" s="382"/>
      <c r="E227" s="382"/>
      <c r="F227" s="382"/>
      <c r="G227" s="29"/>
      <c r="H227" s="29"/>
      <c r="I227" s="29"/>
      <c r="J227" s="29"/>
      <c r="K227" s="29"/>
      <c r="L227" s="29"/>
      <c r="M227" s="29"/>
      <c r="N227" s="29"/>
      <c r="O227" s="29"/>
      <c r="P227" s="29"/>
      <c r="Q227" s="29"/>
      <c r="R227" s="29"/>
      <c r="T227" s="1121"/>
      <c r="U227" s="1121"/>
      <c r="V227" s="1122"/>
      <c r="W227" s="854" t="s">
        <v>157</v>
      </c>
      <c r="X227" s="858"/>
      <c r="Y227" s="91" t="s">
        <v>160</v>
      </c>
      <c r="Z227" s="91" t="s">
        <v>160</v>
      </c>
      <c r="AA227" s="91" t="s">
        <v>161</v>
      </c>
      <c r="AB227" s="91" t="s">
        <v>161</v>
      </c>
      <c r="AC227" s="146"/>
      <c r="AD227" s="428"/>
      <c r="AG227" s="428"/>
      <c r="AH227" s="428"/>
      <c r="AI227" s="428"/>
      <c r="AJ227" s="428"/>
      <c r="AK227" s="428"/>
      <c r="AL227" s="146"/>
    </row>
    <row r="228" spans="2:38" x14ac:dyDescent="0.25">
      <c r="B228" s="382"/>
      <c r="C228" s="382"/>
      <c r="D228" s="382"/>
      <c r="E228" s="382"/>
      <c r="F228" s="382"/>
      <c r="G228" s="29"/>
      <c r="H228" s="29"/>
      <c r="I228" s="29"/>
      <c r="J228" s="29"/>
      <c r="K228" s="29"/>
      <c r="L228" s="29"/>
      <c r="M228" s="29"/>
      <c r="N228" s="29"/>
      <c r="O228" s="29"/>
      <c r="P228" s="29"/>
      <c r="Q228" s="29"/>
      <c r="R228" s="29"/>
      <c r="T228" s="1121"/>
      <c r="U228" s="1121"/>
      <c r="V228" s="1122"/>
      <c r="W228" s="1125">
        <f>'Kalkulace a Porovnání'!W228</f>
        <v>0</v>
      </c>
      <c r="X228" s="1125"/>
      <c r="Y228" s="341">
        <f>'Kalkulace a Porovnání'!Y228</f>
        <v>0</v>
      </c>
      <c r="Z228" s="341">
        <f>'Kalkulace a Porovnání'!Z228</f>
        <v>0</v>
      </c>
      <c r="AA228" s="341">
        <f>'Kalkulace a Porovnání'!AA228</f>
        <v>0</v>
      </c>
      <c r="AB228" s="341">
        <f>'Kalkulace a Porovnání'!AB228</f>
        <v>0</v>
      </c>
      <c r="AC228" s="146"/>
      <c r="AD228" s="428"/>
      <c r="AG228" s="428"/>
      <c r="AH228" s="428"/>
      <c r="AI228" s="428"/>
      <c r="AJ228" s="428"/>
      <c r="AK228" s="428"/>
      <c r="AL228" s="146"/>
    </row>
    <row r="229" spans="2:38" x14ac:dyDescent="0.25">
      <c r="B229" s="29"/>
      <c r="AC229" s="146"/>
      <c r="AD229" s="428"/>
      <c r="AG229" s="428"/>
      <c r="AH229" s="428"/>
      <c r="AI229" s="428"/>
      <c r="AJ229" s="428"/>
      <c r="AK229" s="428"/>
      <c r="AL229" s="146"/>
    </row>
    <row r="230" spans="2:38" x14ac:dyDescent="0.25">
      <c r="B230" s="899" t="s">
        <v>316</v>
      </c>
      <c r="C230" s="900"/>
      <c r="D230" s="900"/>
      <c r="E230" s="900"/>
      <c r="F230" s="900"/>
      <c r="G230" s="900"/>
      <c r="H230" s="900"/>
      <c r="K230" s="899" t="s">
        <v>317</v>
      </c>
      <c r="L230" s="900"/>
      <c r="M230" s="900"/>
      <c r="N230" s="900"/>
      <c r="O230" s="900"/>
      <c r="P230" s="900"/>
      <c r="Q230" s="900"/>
      <c r="T230" s="899" t="s">
        <v>162</v>
      </c>
      <c r="U230" s="900"/>
      <c r="V230" s="900"/>
      <c r="W230" s="900"/>
      <c r="X230" s="900"/>
      <c r="Y230" s="900"/>
      <c r="Z230" s="900"/>
      <c r="AA230" s="900"/>
      <c r="AB230" s="900"/>
      <c r="AC230" s="146"/>
      <c r="AD230" s="428"/>
      <c r="AG230" s="428"/>
      <c r="AH230" s="428"/>
      <c r="AI230" s="428"/>
      <c r="AJ230" s="428"/>
      <c r="AK230" s="428"/>
      <c r="AL230" s="146"/>
    </row>
    <row r="231" spans="2:38" x14ac:dyDescent="0.25">
      <c r="C231" s="272"/>
      <c r="E231" s="25"/>
      <c r="F231" s="25"/>
      <c r="L231" s="25"/>
      <c r="N231" s="25"/>
      <c r="T231" s="1079" t="s">
        <v>318</v>
      </c>
      <c r="U231" s="1079"/>
      <c r="V231" s="1079"/>
      <c r="W231" s="1079"/>
      <c r="X231" s="1079"/>
      <c r="Y231" s="1079"/>
      <c r="Z231" s="1079"/>
      <c r="AA231" s="1079"/>
      <c r="AB231" s="1079"/>
      <c r="AC231" s="146"/>
      <c r="AD231" s="428"/>
      <c r="AG231" s="428"/>
      <c r="AH231" s="428"/>
      <c r="AI231" s="428"/>
      <c r="AJ231" s="428"/>
      <c r="AK231" s="428"/>
      <c r="AL231" s="146"/>
    </row>
    <row r="232" spans="2:38" x14ac:dyDescent="0.25">
      <c r="C232" s="272" t="s">
        <v>103</v>
      </c>
      <c r="D232" s="274">
        <f>'Kalkulace a Porovnání'!D232</f>
        <v>2027</v>
      </c>
      <c r="E232" s="25"/>
      <c r="F232" s="272" t="s">
        <v>221</v>
      </c>
      <c r="G232" s="275" t="str">
        <f>'Kalkulace a Porovnání'!G232</f>
        <v>-</v>
      </c>
      <c r="H232" s="275" t="str">
        <f>'Kalkulace a Porovnání'!H232</f>
        <v xml:space="preserve"> </v>
      </c>
      <c r="L232" s="272" t="s">
        <v>103</v>
      </c>
      <c r="M232" s="274">
        <f>'Kalkulace a Porovnání'!M232</f>
        <v>2027</v>
      </c>
      <c r="O232" s="272" t="s">
        <v>221</v>
      </c>
      <c r="P232" s="275" t="str">
        <f>'Kalkulace a Porovnání'!P232</f>
        <v>-</v>
      </c>
      <c r="Q232" s="275" t="str">
        <f>'Kalkulace a Porovnání'!Q232</f>
        <v xml:space="preserve"> </v>
      </c>
      <c r="T232" s="333"/>
      <c r="U232" s="333"/>
      <c r="V232" s="342" t="s">
        <v>147</v>
      </c>
      <c r="W232" s="274">
        <f>'Kalkulace a Porovnání'!W232</f>
        <v>2027</v>
      </c>
      <c r="Z232" s="272" t="s">
        <v>221</v>
      </c>
      <c r="AA232" s="275" t="str">
        <f>'Kalkulace a Porovnání'!AA232</f>
        <v>-</v>
      </c>
      <c r="AB232" s="275" t="str">
        <f>'Kalkulace a Porovnání'!AB232</f>
        <v xml:space="preserve"> </v>
      </c>
      <c r="AC232" s="146"/>
      <c r="AD232" s="428"/>
      <c r="AG232" s="428"/>
      <c r="AH232" s="428"/>
      <c r="AI232" s="428"/>
      <c r="AJ232" s="428"/>
      <c r="AK232" s="428"/>
      <c r="AL232" s="146"/>
    </row>
    <row r="233" spans="2:38" x14ac:dyDescent="0.25">
      <c r="B233" s="13" t="s">
        <v>66</v>
      </c>
      <c r="C233" s="13" t="s">
        <v>89</v>
      </c>
      <c r="D233" s="1061" t="str">
        <f>'Kalkulace a Porovnání'!D233</f>
        <v>PRVOK s.r.o., IČ 281 28 257</v>
      </c>
      <c r="E233" s="1062"/>
      <c r="F233" s="1062"/>
      <c r="G233" s="1062"/>
      <c r="H233" s="1063"/>
      <c r="K233" s="13" t="s">
        <v>66</v>
      </c>
      <c r="L233" s="13" t="s">
        <v>89</v>
      </c>
      <c r="M233" s="1061" t="str">
        <f>'Kalkulace a Porovnání'!M233</f>
        <v>PRVOK s.r.o., IČ 281 28 257</v>
      </c>
      <c r="N233" s="1062"/>
      <c r="O233" s="1062"/>
      <c r="P233" s="1062"/>
      <c r="Q233" s="1063"/>
      <c r="T233" s="13" t="s">
        <v>66</v>
      </c>
      <c r="U233" s="13" t="s">
        <v>89</v>
      </c>
      <c r="V233" s="1080" t="str">
        <f>'Kalkulace a Porovnání'!V233</f>
        <v>PRVOK s.r.o., IČ 281 28 257</v>
      </c>
      <c r="W233" s="1081"/>
      <c r="X233" s="1081"/>
      <c r="Y233" s="1081"/>
      <c r="Z233" s="1081"/>
      <c r="AA233" s="1081"/>
      <c r="AB233" s="1081"/>
      <c r="AC233" s="146"/>
      <c r="AD233" s="428"/>
      <c r="AG233" s="252"/>
      <c r="AH233" s="252"/>
      <c r="AI233" s="252"/>
      <c r="AJ233" s="252"/>
      <c r="AK233" s="428"/>
      <c r="AL233" s="146"/>
    </row>
    <row r="234" spans="2:38" x14ac:dyDescent="0.25">
      <c r="B234" s="13" t="s">
        <v>84</v>
      </c>
      <c r="C234" s="13" t="s">
        <v>90</v>
      </c>
      <c r="D234" s="1061" t="str">
        <f>'Kalkulace a Porovnání'!D234</f>
        <v>PRVOK s.r.o., IČ 281 28 257</v>
      </c>
      <c r="E234" s="1062"/>
      <c r="F234" s="1062"/>
      <c r="G234" s="1062"/>
      <c r="H234" s="1063"/>
      <c r="K234" s="13" t="s">
        <v>84</v>
      </c>
      <c r="L234" s="13" t="s">
        <v>90</v>
      </c>
      <c r="M234" s="1061" t="str">
        <f>'Kalkulace a Porovnání'!M234</f>
        <v>PRVOK s.r.o., IČ 281 28 257</v>
      </c>
      <c r="N234" s="1062"/>
      <c r="O234" s="1062"/>
      <c r="P234" s="1062"/>
      <c r="Q234" s="1063"/>
      <c r="T234" s="13" t="s">
        <v>84</v>
      </c>
      <c r="U234" s="13" t="s">
        <v>90</v>
      </c>
      <c r="V234" s="1080" t="str">
        <f>'Kalkulace a Porovnání'!V234</f>
        <v>PRVOK s.r.o., IČ 281 28 257</v>
      </c>
      <c r="W234" s="1081"/>
      <c r="X234" s="1081"/>
      <c r="Y234" s="1081"/>
      <c r="Z234" s="1081"/>
      <c r="AA234" s="1081"/>
      <c r="AB234" s="1081"/>
      <c r="AC234" s="146"/>
      <c r="AD234" s="428"/>
      <c r="AG234" s="252"/>
      <c r="AH234" s="252"/>
      <c r="AI234" s="252"/>
      <c r="AJ234" s="252"/>
      <c r="AK234" s="428"/>
      <c r="AL234" s="146"/>
    </row>
    <row r="235" spans="2:38" x14ac:dyDescent="0.25">
      <c r="B235" s="13" t="s">
        <v>85</v>
      </c>
      <c r="C235" s="13" t="s">
        <v>91</v>
      </c>
      <c r="D235" s="1061" t="str">
        <f>'Kalkulace a Porovnání'!D235</f>
        <v>Obec Benešov nad Černou, IČ 00245780</v>
      </c>
      <c r="E235" s="1062"/>
      <c r="F235" s="1062"/>
      <c r="G235" s="1062"/>
      <c r="H235" s="1063"/>
      <c r="K235" s="13" t="s">
        <v>85</v>
      </c>
      <c r="L235" s="13" t="s">
        <v>91</v>
      </c>
      <c r="M235" s="1061" t="str">
        <f>'Kalkulace a Porovnání'!M235</f>
        <v>Obec Benešov nad Černou, IČ 00245780</v>
      </c>
      <c r="N235" s="1062"/>
      <c r="O235" s="1062"/>
      <c r="P235" s="1062"/>
      <c r="Q235" s="1063"/>
      <c r="T235" s="13" t="s">
        <v>85</v>
      </c>
      <c r="U235" s="13" t="s">
        <v>91</v>
      </c>
      <c r="V235" s="1080" t="str">
        <f>'Kalkulace a Porovnání'!V235</f>
        <v>Obec Benešov nad Černou, IČ 00245780</v>
      </c>
      <c r="W235" s="1081"/>
      <c r="X235" s="1081"/>
      <c r="Y235" s="1081"/>
      <c r="Z235" s="1081"/>
      <c r="AA235" s="1081"/>
      <c r="AB235" s="1081"/>
      <c r="AC235" s="146"/>
      <c r="AD235" s="428"/>
      <c r="AG235" s="252"/>
      <c r="AH235" s="252"/>
      <c r="AI235" s="252"/>
      <c r="AJ235" s="252"/>
      <c r="AK235" s="428"/>
      <c r="AL235" s="146"/>
    </row>
    <row r="236" spans="2:38" x14ac:dyDescent="0.25">
      <c r="B236" s="13" t="s">
        <v>86</v>
      </c>
      <c r="C236" s="13" t="s">
        <v>93</v>
      </c>
      <c r="D236" s="1061" t="str">
        <f>'Kalkulace a Porovnání'!D236</f>
        <v>A</v>
      </c>
      <c r="E236" s="1062"/>
      <c r="F236" s="1062"/>
      <c r="G236" s="1062"/>
      <c r="H236" s="1063"/>
      <c r="K236" s="13" t="s">
        <v>86</v>
      </c>
      <c r="L236" s="13" t="s">
        <v>93</v>
      </c>
      <c r="M236" s="1061" t="str">
        <f>'Kalkulace a Porovnání'!M236</f>
        <v>A</v>
      </c>
      <c r="N236" s="1062"/>
      <c r="O236" s="1062"/>
      <c r="P236" s="1062"/>
      <c r="Q236" s="1063"/>
      <c r="T236" s="13" t="s">
        <v>86</v>
      </c>
      <c r="U236" s="13" t="s">
        <v>93</v>
      </c>
      <c r="V236" s="1080" t="str">
        <f>'Kalkulace a Porovnání'!V236</f>
        <v>A</v>
      </c>
      <c r="W236" s="1081"/>
      <c r="X236" s="1081"/>
      <c r="Y236" s="1081"/>
      <c r="Z236" s="1081"/>
      <c r="AA236" s="1081"/>
      <c r="AB236" s="1081"/>
      <c r="AC236" s="146"/>
      <c r="AD236" s="428"/>
      <c r="AG236" s="252"/>
      <c r="AH236" s="252"/>
      <c r="AI236" s="252"/>
      <c r="AJ236" s="252"/>
      <c r="AK236" s="428"/>
      <c r="AL236" s="146"/>
    </row>
    <row r="237" spans="2:38" x14ac:dyDescent="0.25">
      <c r="B237" s="13" t="s">
        <v>87</v>
      </c>
      <c r="C237" s="13" t="s">
        <v>92</v>
      </c>
      <c r="D237" s="1061">
        <f>'Kalkulace a Porovnání'!D237</f>
        <v>1</v>
      </c>
      <c r="E237" s="1062"/>
      <c r="F237" s="1062"/>
      <c r="G237" s="1062"/>
      <c r="H237" s="1063"/>
      <c r="K237" s="13" t="s">
        <v>87</v>
      </c>
      <c r="L237" s="13" t="s">
        <v>92</v>
      </c>
      <c r="M237" s="1061">
        <f>'Kalkulace a Porovnání'!M237</f>
        <v>1</v>
      </c>
      <c r="N237" s="1062"/>
      <c r="O237" s="1062"/>
      <c r="P237" s="1062"/>
      <c r="Q237" s="1063"/>
      <c r="T237" s="13" t="s">
        <v>87</v>
      </c>
      <c r="U237" s="13" t="s">
        <v>92</v>
      </c>
      <c r="V237" s="1080">
        <f>'Kalkulace a Porovnání'!V237</f>
        <v>1</v>
      </c>
      <c r="W237" s="1081"/>
      <c r="X237" s="1081"/>
      <c r="Y237" s="1081"/>
      <c r="Z237" s="1081"/>
      <c r="AA237" s="1081"/>
      <c r="AB237" s="1081"/>
      <c r="AC237" s="146"/>
      <c r="AD237" s="428"/>
      <c r="AG237" s="252"/>
      <c r="AH237" s="252"/>
      <c r="AI237" s="252"/>
      <c r="AJ237" s="252"/>
      <c r="AK237" s="428"/>
      <c r="AL237" s="146"/>
    </row>
    <row r="238" spans="2:38" x14ac:dyDescent="0.25">
      <c r="B238" s="13" t="s">
        <v>88</v>
      </c>
      <c r="C238" s="13" t="s">
        <v>94</v>
      </c>
      <c r="D238" s="1061" t="str">
        <f>'Kalkulace a Porovnání'!D238</f>
        <v>[vyplnit]</v>
      </c>
      <c r="E238" s="1062"/>
      <c r="F238" s="1062"/>
      <c r="G238" s="1062"/>
      <c r="H238" s="1063"/>
      <c r="K238" s="13" t="s">
        <v>88</v>
      </c>
      <c r="L238" s="13" t="s">
        <v>94</v>
      </c>
      <c r="M238" s="1061" t="str">
        <f>'Kalkulace a Porovnání'!M238</f>
        <v xml:space="preserve"> </v>
      </c>
      <c r="N238" s="1062"/>
      <c r="O238" s="1062"/>
      <c r="P238" s="1062"/>
      <c r="Q238" s="1063"/>
      <c r="T238" s="13" t="s">
        <v>88</v>
      </c>
      <c r="U238" s="13" t="s">
        <v>94</v>
      </c>
      <c r="V238" s="1080" t="str">
        <f>'Kalkulace a Porovnání'!V238</f>
        <v xml:space="preserve"> </v>
      </c>
      <c r="W238" s="1081"/>
      <c r="X238" s="1081"/>
      <c r="Y238" s="1081"/>
      <c r="Z238" s="1081"/>
      <c r="AA238" s="1081"/>
      <c r="AB238" s="1081"/>
      <c r="AC238" s="146"/>
      <c r="AD238" s="428"/>
      <c r="AG238" s="252"/>
      <c r="AH238" s="252"/>
      <c r="AI238" s="252"/>
      <c r="AJ238" s="252"/>
      <c r="AK238" s="428"/>
      <c r="AL238" s="146"/>
    </row>
    <row r="239" spans="2:38" x14ac:dyDescent="0.25">
      <c r="AC239" s="146"/>
      <c r="AD239" s="428"/>
      <c r="AG239" s="252"/>
      <c r="AH239" s="252"/>
      <c r="AI239" s="252"/>
      <c r="AJ239" s="252"/>
      <c r="AK239" s="428"/>
      <c r="AL239" s="146"/>
    </row>
    <row r="240" spans="2:38" x14ac:dyDescent="0.25">
      <c r="B240" s="1052" t="s">
        <v>5</v>
      </c>
      <c r="C240" s="884" t="s">
        <v>0</v>
      </c>
      <c r="D240" s="868"/>
      <c r="E240" s="868"/>
      <c r="F240" s="868"/>
      <c r="G240" s="868"/>
      <c r="H240" s="869"/>
      <c r="K240" s="1052" t="s">
        <v>5</v>
      </c>
      <c r="L240" s="884" t="s">
        <v>0</v>
      </c>
      <c r="M240" s="868"/>
      <c r="N240" s="868"/>
      <c r="O240" s="868"/>
      <c r="P240" s="868"/>
      <c r="Q240" s="869"/>
      <c r="T240" s="1052" t="s">
        <v>5</v>
      </c>
      <c r="U240" s="884" t="s">
        <v>0</v>
      </c>
      <c r="V240" s="868"/>
      <c r="W240" s="868"/>
      <c r="X240" s="868"/>
      <c r="Y240" s="868"/>
      <c r="Z240" s="868"/>
      <c r="AA240" s="868"/>
      <c r="AB240" s="869"/>
      <c r="AC240" s="146"/>
      <c r="AD240" s="428"/>
      <c r="AG240" s="252"/>
      <c r="AH240" s="252"/>
      <c r="AI240" s="252"/>
      <c r="AJ240" s="252"/>
      <c r="AK240" s="428"/>
      <c r="AL240" s="146"/>
    </row>
    <row r="241" spans="2:38" x14ac:dyDescent="0.25">
      <c r="B241" s="1053"/>
      <c r="C241" s="1052" t="s">
        <v>1</v>
      </c>
      <c r="D241" s="1065" t="s">
        <v>133</v>
      </c>
      <c r="E241" s="884" t="s">
        <v>3</v>
      </c>
      <c r="F241" s="868"/>
      <c r="G241" s="884" t="s">
        <v>4</v>
      </c>
      <c r="H241" s="869"/>
      <c r="K241" s="1053"/>
      <c r="L241" s="1052" t="s">
        <v>1</v>
      </c>
      <c r="M241" s="1065" t="s">
        <v>133</v>
      </c>
      <c r="N241" s="884" t="s">
        <v>3</v>
      </c>
      <c r="O241" s="868"/>
      <c r="P241" s="884" t="s">
        <v>4</v>
      </c>
      <c r="Q241" s="869"/>
      <c r="T241" s="1053"/>
      <c r="U241" s="1052" t="s">
        <v>1</v>
      </c>
      <c r="V241" s="1065" t="s">
        <v>133</v>
      </c>
      <c r="W241" s="884" t="s">
        <v>3</v>
      </c>
      <c r="X241" s="868"/>
      <c r="Y241" s="868"/>
      <c r="Z241" s="884" t="s">
        <v>4</v>
      </c>
      <c r="AA241" s="868"/>
      <c r="AB241" s="869"/>
      <c r="AC241" s="146"/>
      <c r="AD241" s="428"/>
      <c r="AG241" s="252"/>
      <c r="AH241" s="252"/>
      <c r="AI241" s="252"/>
      <c r="AJ241" s="252"/>
      <c r="AK241" s="428"/>
      <c r="AL241" s="146"/>
    </row>
    <row r="242" spans="2:38" x14ac:dyDescent="0.25">
      <c r="B242" s="1053"/>
      <c r="C242" s="1053"/>
      <c r="D242" s="1053"/>
      <c r="E242" s="28">
        <f>'Kalkulace a Porovnání'!E242</f>
        <v>2026</v>
      </c>
      <c r="F242" s="28">
        <f>'Kalkulace a Porovnání'!F242</f>
        <v>2027</v>
      </c>
      <c r="G242" s="28">
        <f>'Kalkulace a Porovnání'!G242</f>
        <v>2026</v>
      </c>
      <c r="H242" s="28">
        <f>'Kalkulace a Porovnání'!H242</f>
        <v>2027</v>
      </c>
      <c r="K242" s="1053"/>
      <c r="L242" s="1053"/>
      <c r="M242" s="1053"/>
      <c r="N242" s="28">
        <f>'Kalkulace a Porovnání'!N242</f>
        <v>2026</v>
      </c>
      <c r="O242" s="28">
        <f>'Kalkulace a Porovnání'!O242</f>
        <v>2027</v>
      </c>
      <c r="P242" s="28">
        <f>'Kalkulace a Porovnání'!P242</f>
        <v>2026</v>
      </c>
      <c r="Q242" s="28">
        <f>'Kalkulace a Porovnání'!Q242</f>
        <v>2027</v>
      </c>
      <c r="T242" s="1053"/>
      <c r="U242" s="1053"/>
      <c r="V242" s="1053"/>
      <c r="W242" s="28">
        <f>'Kalkulace a Porovnání'!W242</f>
        <v>2027</v>
      </c>
      <c r="X242" s="28">
        <f>'Kalkulace a Porovnání'!X242</f>
        <v>2027</v>
      </c>
      <c r="Y242" s="28">
        <f>'Kalkulace a Porovnání'!Y242</f>
        <v>2027</v>
      </c>
      <c r="Z242" s="28">
        <f>'Kalkulace a Porovnání'!Z242</f>
        <v>2027</v>
      </c>
      <c r="AA242" s="28">
        <f>'Kalkulace a Porovnání'!AA242</f>
        <v>2027</v>
      </c>
      <c r="AB242" s="28">
        <f>'Kalkulace a Porovnání'!AB242</f>
        <v>2027</v>
      </c>
      <c r="AC242" s="146"/>
      <c r="AD242" s="428"/>
      <c r="AG242" s="252"/>
      <c r="AH242" s="252"/>
      <c r="AI242" s="252"/>
      <c r="AJ242" s="252"/>
      <c r="AK242" s="428"/>
      <c r="AL242" s="146"/>
    </row>
    <row r="243" spans="2:38" x14ac:dyDescent="0.25">
      <c r="B243" s="1054"/>
      <c r="C243" s="1054"/>
      <c r="D243" s="1054"/>
      <c r="E243" s="7" t="s">
        <v>151</v>
      </c>
      <c r="F243" s="7" t="s">
        <v>98</v>
      </c>
      <c r="G243" s="7" t="s">
        <v>151</v>
      </c>
      <c r="H243" s="19" t="s">
        <v>98</v>
      </c>
      <c r="K243" s="1054"/>
      <c r="L243" s="1054"/>
      <c r="M243" s="1054"/>
      <c r="N243" s="7" t="s">
        <v>151</v>
      </c>
      <c r="O243" s="7" t="s">
        <v>98</v>
      </c>
      <c r="P243" s="7" t="s">
        <v>151</v>
      </c>
      <c r="Q243" s="19" t="s">
        <v>98</v>
      </c>
      <c r="T243" s="1054"/>
      <c r="U243" s="1054"/>
      <c r="V243" s="1054"/>
      <c r="W243" s="7" t="s">
        <v>150</v>
      </c>
      <c r="X243" s="7" t="s">
        <v>98</v>
      </c>
      <c r="Y243" s="7" t="s">
        <v>149</v>
      </c>
      <c r="Z243" s="7" t="s">
        <v>150</v>
      </c>
      <c r="AA243" s="7" t="s">
        <v>98</v>
      </c>
      <c r="AB243" s="19" t="s">
        <v>149</v>
      </c>
      <c r="AC243" s="146"/>
      <c r="AD243" s="428"/>
      <c r="AG243" s="252"/>
      <c r="AH243" s="252"/>
      <c r="AI243" s="252"/>
      <c r="AJ243" s="252"/>
      <c r="AK243" s="428"/>
      <c r="AL243" s="146"/>
    </row>
    <row r="244" spans="2:38" x14ac:dyDescent="0.25">
      <c r="B244" s="11">
        <v>1</v>
      </c>
      <c r="C244" s="11">
        <v>2</v>
      </c>
      <c r="D244" s="11" t="s">
        <v>95</v>
      </c>
      <c r="E244" s="11">
        <v>3</v>
      </c>
      <c r="F244" s="11">
        <v>4</v>
      </c>
      <c r="G244" s="11">
        <v>6</v>
      </c>
      <c r="H244" s="22">
        <v>7</v>
      </c>
      <c r="K244" s="11">
        <v>1</v>
      </c>
      <c r="L244" s="11">
        <v>2</v>
      </c>
      <c r="M244" s="11" t="s">
        <v>95</v>
      </c>
      <c r="N244" s="11">
        <v>3</v>
      </c>
      <c r="O244" s="11">
        <v>4</v>
      </c>
      <c r="P244" s="11">
        <v>6</v>
      </c>
      <c r="Q244" s="22">
        <v>7</v>
      </c>
      <c r="T244" s="11">
        <v>1</v>
      </c>
      <c r="U244" s="11">
        <v>2</v>
      </c>
      <c r="V244" s="11" t="s">
        <v>95</v>
      </c>
      <c r="W244" s="11">
        <v>3</v>
      </c>
      <c r="X244" s="11">
        <v>4</v>
      </c>
      <c r="Y244" s="11">
        <v>5</v>
      </c>
      <c r="Z244" s="11">
        <v>6</v>
      </c>
      <c r="AA244" s="11">
        <v>7</v>
      </c>
      <c r="AB244" s="22">
        <v>8</v>
      </c>
      <c r="AC244" s="146"/>
      <c r="AD244" s="428"/>
      <c r="AG244" s="252"/>
      <c r="AH244" s="252"/>
      <c r="AI244" s="252"/>
      <c r="AJ244" s="252"/>
      <c r="AK244" s="428"/>
      <c r="AL244" s="146"/>
    </row>
    <row r="245" spans="2:38" x14ac:dyDescent="0.25">
      <c r="B245" s="9" t="s">
        <v>8</v>
      </c>
      <c r="C245" s="10" t="s">
        <v>9</v>
      </c>
      <c r="D245" s="11" t="s">
        <v>10</v>
      </c>
      <c r="E245" s="41">
        <f>'Kalkulace a Porovnání'!E245</f>
        <v>0</v>
      </c>
      <c r="F245" s="41">
        <f>'Kalkulace a Porovnání'!F245</f>
        <v>0</v>
      </c>
      <c r="G245" s="41">
        <f>'Kalkulace a Porovnání'!G245</f>
        <v>0</v>
      </c>
      <c r="H245" s="86">
        <f>'Kalkulace a Porovnání'!H245</f>
        <v>0</v>
      </c>
      <c r="K245" s="9" t="s">
        <v>8</v>
      </c>
      <c r="L245" s="10" t="s">
        <v>9</v>
      </c>
      <c r="M245" s="11" t="s">
        <v>10</v>
      </c>
      <c r="N245" s="41">
        <f>'Kalkulace a Porovnání'!N245</f>
        <v>0</v>
      </c>
      <c r="O245" s="41">
        <f>'Kalkulace a Porovnání'!O245</f>
        <v>0</v>
      </c>
      <c r="P245" s="41">
        <f>'Kalkulace a Porovnání'!P245</f>
        <v>0</v>
      </c>
      <c r="Q245" s="86">
        <f>'Kalkulace a Porovnání'!Q245</f>
        <v>0</v>
      </c>
      <c r="T245" s="9" t="s">
        <v>8</v>
      </c>
      <c r="U245" s="10" t="s">
        <v>9</v>
      </c>
      <c r="V245" s="11" t="s">
        <v>10</v>
      </c>
      <c r="W245" s="41">
        <f>'Kalkulace a Porovnání'!W245</f>
        <v>0</v>
      </c>
      <c r="X245" s="41">
        <f>'Kalkulace a Porovnání'!X245</f>
        <v>0</v>
      </c>
      <c r="Y245" s="41">
        <f>'Kalkulace a Porovnání'!Y245</f>
        <v>0</v>
      </c>
      <c r="Z245" s="41">
        <f>'Kalkulace a Porovnání'!Z245</f>
        <v>0</v>
      </c>
      <c r="AA245" s="41">
        <f>'Kalkulace a Porovnání'!AA245</f>
        <v>0</v>
      </c>
      <c r="AB245" s="86">
        <f>'Kalkulace a Porovnání'!AB245</f>
        <v>0</v>
      </c>
      <c r="AC245" s="146"/>
      <c r="AD245" s="428"/>
      <c r="AG245" s="252"/>
      <c r="AH245" s="252"/>
      <c r="AI245" s="252"/>
      <c r="AJ245" s="252"/>
      <c r="AK245" s="428"/>
      <c r="AL245" s="146"/>
    </row>
    <row r="246" spans="2:38" x14ac:dyDescent="0.25">
      <c r="B246" s="12" t="s">
        <v>11</v>
      </c>
      <c r="C246" s="13" t="s">
        <v>12</v>
      </c>
      <c r="D246" s="3" t="s">
        <v>10</v>
      </c>
      <c r="E246" s="44">
        <f>'Kalkulace a Porovnání'!E246</f>
        <v>0</v>
      </c>
      <c r="F246" s="44">
        <f>'Kalkulace a Porovnání'!F246</f>
        <v>0</v>
      </c>
      <c r="G246" s="44">
        <f>'Kalkulace a Porovnání'!G246</f>
        <v>0</v>
      </c>
      <c r="H246" s="30">
        <f>'Kalkulace a Porovnání'!H246</f>
        <v>0</v>
      </c>
      <c r="K246" s="12" t="s">
        <v>11</v>
      </c>
      <c r="L246" s="13" t="s">
        <v>12</v>
      </c>
      <c r="M246" s="3" t="s">
        <v>10</v>
      </c>
      <c r="N246" s="44">
        <f>'Kalkulace a Porovnání'!N246</f>
        <v>0</v>
      </c>
      <c r="O246" s="44">
        <f>'Kalkulace a Porovnání'!O246</f>
        <v>0</v>
      </c>
      <c r="P246" s="44">
        <f>'Kalkulace a Porovnání'!P246</f>
        <v>0</v>
      </c>
      <c r="Q246" s="30">
        <f>'Kalkulace a Porovnání'!Q246</f>
        <v>0</v>
      </c>
      <c r="T246" s="12" t="s">
        <v>11</v>
      </c>
      <c r="U246" s="13" t="s">
        <v>12</v>
      </c>
      <c r="V246" s="3" t="s">
        <v>10</v>
      </c>
      <c r="W246" s="44">
        <f>'Kalkulace a Porovnání'!W246</f>
        <v>0</v>
      </c>
      <c r="X246" s="44">
        <f>'Kalkulace a Porovnání'!X246</f>
        <v>0</v>
      </c>
      <c r="Y246" s="44">
        <f>'Kalkulace a Porovnání'!Y246</f>
        <v>0</v>
      </c>
      <c r="Z246" s="44">
        <f>'Kalkulace a Porovnání'!Z246</f>
        <v>0</v>
      </c>
      <c r="AA246" s="44">
        <f>'Kalkulace a Porovnání'!AA246</f>
        <v>0</v>
      </c>
      <c r="AB246" s="30">
        <f>'Kalkulace a Porovnání'!AB246</f>
        <v>0</v>
      </c>
      <c r="AC246" s="146"/>
      <c r="AD246" s="428"/>
      <c r="AG246" s="252"/>
      <c r="AH246" s="252"/>
      <c r="AI246" s="252"/>
      <c r="AJ246" s="252"/>
      <c r="AK246" s="428"/>
      <c r="AL246" s="146"/>
    </row>
    <row r="247" spans="2:38" x14ac:dyDescent="0.25">
      <c r="B247" s="12" t="s">
        <v>13</v>
      </c>
      <c r="C247" s="12" t="s">
        <v>14</v>
      </c>
      <c r="D247" s="3" t="s">
        <v>10</v>
      </c>
      <c r="E247" s="44">
        <f>'Kalkulace a Porovnání'!E247</f>
        <v>0</v>
      </c>
      <c r="F247" s="44">
        <f>'Kalkulace a Porovnání'!F247</f>
        <v>0</v>
      </c>
      <c r="G247" s="44">
        <f>'Kalkulace a Porovnání'!G247</f>
        <v>0</v>
      </c>
      <c r="H247" s="30">
        <f>'Kalkulace a Porovnání'!H247</f>
        <v>0</v>
      </c>
      <c r="K247" s="12" t="s">
        <v>13</v>
      </c>
      <c r="L247" s="12" t="s">
        <v>14</v>
      </c>
      <c r="M247" s="3" t="s">
        <v>10</v>
      </c>
      <c r="N247" s="44">
        <f>'Kalkulace a Porovnání'!N247</f>
        <v>0</v>
      </c>
      <c r="O247" s="44">
        <f>'Kalkulace a Porovnání'!O247</f>
        <v>0</v>
      </c>
      <c r="P247" s="44">
        <f>'Kalkulace a Porovnání'!P247</f>
        <v>0</v>
      </c>
      <c r="Q247" s="30">
        <f>'Kalkulace a Porovnání'!Q247</f>
        <v>0</v>
      </c>
      <c r="T247" s="12" t="s">
        <v>13</v>
      </c>
      <c r="U247" s="12" t="s">
        <v>14</v>
      </c>
      <c r="V247" s="3" t="s">
        <v>10</v>
      </c>
      <c r="W247" s="44">
        <f>'Kalkulace a Porovnání'!W247</f>
        <v>0</v>
      </c>
      <c r="X247" s="44">
        <f>'Kalkulace a Porovnání'!X247</f>
        <v>0</v>
      </c>
      <c r="Y247" s="44">
        <f>'Kalkulace a Porovnání'!Y247</f>
        <v>0</v>
      </c>
      <c r="Z247" s="44">
        <f>'Kalkulace a Porovnání'!Z247</f>
        <v>0</v>
      </c>
      <c r="AA247" s="44">
        <f>'Kalkulace a Porovnání'!AA247</f>
        <v>0</v>
      </c>
      <c r="AB247" s="30">
        <f>'Kalkulace a Porovnání'!AB247</f>
        <v>0</v>
      </c>
      <c r="AC247" s="146"/>
      <c r="AD247" s="428"/>
      <c r="AG247" s="252"/>
      <c r="AH247" s="252"/>
      <c r="AI247" s="252"/>
      <c r="AJ247" s="252"/>
      <c r="AK247" s="428"/>
      <c r="AL247" s="146"/>
    </row>
    <row r="248" spans="2:38" x14ac:dyDescent="0.25">
      <c r="B248" s="12" t="s">
        <v>15</v>
      </c>
      <c r="C248" s="13" t="s">
        <v>16</v>
      </c>
      <c r="D248" s="3" t="s">
        <v>10</v>
      </c>
      <c r="E248" s="44">
        <f>'Kalkulace a Porovnání'!E248</f>
        <v>0</v>
      </c>
      <c r="F248" s="44">
        <f>'Kalkulace a Porovnání'!F248</f>
        <v>0</v>
      </c>
      <c r="G248" s="44">
        <f>'Kalkulace a Porovnání'!G248</f>
        <v>0</v>
      </c>
      <c r="H248" s="30">
        <f>'Kalkulace a Porovnání'!H248</f>
        <v>0</v>
      </c>
      <c r="K248" s="12" t="s">
        <v>15</v>
      </c>
      <c r="L248" s="13" t="s">
        <v>16</v>
      </c>
      <c r="M248" s="3" t="s">
        <v>10</v>
      </c>
      <c r="N248" s="44">
        <f>'Kalkulace a Porovnání'!N248</f>
        <v>0</v>
      </c>
      <c r="O248" s="44">
        <f>'Kalkulace a Porovnání'!O248</f>
        <v>0</v>
      </c>
      <c r="P248" s="44">
        <f>'Kalkulace a Porovnání'!P248</f>
        <v>0</v>
      </c>
      <c r="Q248" s="30">
        <f>'Kalkulace a Porovnání'!Q248</f>
        <v>0</v>
      </c>
      <c r="T248" s="12" t="s">
        <v>15</v>
      </c>
      <c r="U248" s="13" t="s">
        <v>16</v>
      </c>
      <c r="V248" s="3" t="s">
        <v>10</v>
      </c>
      <c r="W248" s="44">
        <f>'Kalkulace a Porovnání'!W248</f>
        <v>0</v>
      </c>
      <c r="X248" s="44">
        <f>'Kalkulace a Porovnání'!X248</f>
        <v>0</v>
      </c>
      <c r="Y248" s="44">
        <f>'Kalkulace a Porovnání'!Y248</f>
        <v>0</v>
      </c>
      <c r="Z248" s="44">
        <f>'Kalkulace a Porovnání'!Z248</f>
        <v>0</v>
      </c>
      <c r="AA248" s="44">
        <f>'Kalkulace a Porovnání'!AA248</f>
        <v>0</v>
      </c>
      <c r="AB248" s="30">
        <f>'Kalkulace a Porovnání'!AB248</f>
        <v>0</v>
      </c>
      <c r="AC248" s="146"/>
      <c r="AD248" s="428"/>
      <c r="AG248" s="252"/>
      <c r="AH248" s="252"/>
      <c r="AI248" s="252"/>
      <c r="AJ248" s="252"/>
      <c r="AK248" s="428"/>
      <c r="AL248" s="146"/>
    </row>
    <row r="249" spans="2:38" x14ac:dyDescent="0.25">
      <c r="B249" s="12" t="s">
        <v>17</v>
      </c>
      <c r="C249" s="13" t="s">
        <v>18</v>
      </c>
      <c r="D249" s="3" t="s">
        <v>10</v>
      </c>
      <c r="E249" s="44">
        <f>'Kalkulace a Porovnání'!E249</f>
        <v>0</v>
      </c>
      <c r="F249" s="44">
        <f>'Kalkulace a Porovnání'!F249</f>
        <v>0</v>
      </c>
      <c r="G249" s="44">
        <f>'Kalkulace a Porovnání'!G249</f>
        <v>0</v>
      </c>
      <c r="H249" s="30">
        <f>'Kalkulace a Porovnání'!H249</f>
        <v>0</v>
      </c>
      <c r="K249" s="12" t="s">
        <v>17</v>
      </c>
      <c r="L249" s="13" t="s">
        <v>18</v>
      </c>
      <c r="M249" s="3" t="s">
        <v>10</v>
      </c>
      <c r="N249" s="44">
        <f>'Kalkulace a Porovnání'!N249</f>
        <v>0</v>
      </c>
      <c r="O249" s="44">
        <f>'Kalkulace a Porovnání'!O249</f>
        <v>0</v>
      </c>
      <c r="P249" s="44">
        <f>'Kalkulace a Porovnání'!P249</f>
        <v>0</v>
      </c>
      <c r="Q249" s="30">
        <f>'Kalkulace a Porovnání'!Q249</f>
        <v>0</v>
      </c>
      <c r="T249" s="12" t="s">
        <v>17</v>
      </c>
      <c r="U249" s="13" t="s">
        <v>18</v>
      </c>
      <c r="V249" s="3" t="s">
        <v>10</v>
      </c>
      <c r="W249" s="44">
        <f>'Kalkulace a Porovnání'!W249</f>
        <v>0</v>
      </c>
      <c r="X249" s="44">
        <f>'Kalkulace a Porovnání'!X249</f>
        <v>0</v>
      </c>
      <c r="Y249" s="44">
        <f>'Kalkulace a Porovnání'!Y249</f>
        <v>0</v>
      </c>
      <c r="Z249" s="44">
        <f>'Kalkulace a Porovnání'!Z249</f>
        <v>0</v>
      </c>
      <c r="AA249" s="44">
        <f>'Kalkulace a Porovnání'!AA249</f>
        <v>0</v>
      </c>
      <c r="AB249" s="30">
        <f>'Kalkulace a Porovnání'!AB249</f>
        <v>0</v>
      </c>
      <c r="AC249" s="146"/>
      <c r="AD249" s="428"/>
      <c r="AG249" s="252"/>
      <c r="AH249" s="252"/>
      <c r="AI249" s="252"/>
      <c r="AJ249" s="252"/>
      <c r="AK249" s="428"/>
      <c r="AL249" s="146"/>
    </row>
    <row r="250" spans="2:38" x14ac:dyDescent="0.25">
      <c r="B250" s="9" t="s">
        <v>19</v>
      </c>
      <c r="C250" s="10" t="s">
        <v>20</v>
      </c>
      <c r="D250" s="11" t="s">
        <v>10</v>
      </c>
      <c r="E250" s="41">
        <f>'Kalkulace a Porovnání'!E250</f>
        <v>0</v>
      </c>
      <c r="F250" s="41">
        <f>'Kalkulace a Porovnání'!F250</f>
        <v>0</v>
      </c>
      <c r="G250" s="41">
        <f>'Kalkulace a Porovnání'!G250</f>
        <v>0</v>
      </c>
      <c r="H250" s="86">
        <f>'Kalkulace a Porovnání'!H250</f>
        <v>0</v>
      </c>
      <c r="K250" s="9" t="s">
        <v>19</v>
      </c>
      <c r="L250" s="10" t="s">
        <v>20</v>
      </c>
      <c r="M250" s="11" t="s">
        <v>10</v>
      </c>
      <c r="N250" s="41">
        <f>'Kalkulace a Porovnání'!N250</f>
        <v>0</v>
      </c>
      <c r="O250" s="41">
        <f>'Kalkulace a Porovnání'!O250</f>
        <v>0</v>
      </c>
      <c r="P250" s="41">
        <f>'Kalkulace a Porovnání'!P250</f>
        <v>0</v>
      </c>
      <c r="Q250" s="86">
        <f>'Kalkulace a Porovnání'!Q250</f>
        <v>0</v>
      </c>
      <c r="T250" s="9" t="s">
        <v>19</v>
      </c>
      <c r="U250" s="10" t="s">
        <v>20</v>
      </c>
      <c r="V250" s="11" t="s">
        <v>10</v>
      </c>
      <c r="W250" s="41">
        <f>'Kalkulace a Porovnání'!W250</f>
        <v>0</v>
      </c>
      <c r="X250" s="41">
        <f>'Kalkulace a Porovnání'!X250</f>
        <v>0</v>
      </c>
      <c r="Y250" s="41">
        <f>'Kalkulace a Porovnání'!Y250</f>
        <v>0</v>
      </c>
      <c r="Z250" s="41">
        <f>'Kalkulace a Porovnání'!Z250</f>
        <v>0</v>
      </c>
      <c r="AA250" s="41">
        <f>'Kalkulace a Porovnání'!AA250</f>
        <v>0</v>
      </c>
      <c r="AB250" s="86">
        <f>'Kalkulace a Porovnání'!AB250</f>
        <v>0</v>
      </c>
      <c r="AC250" s="146"/>
      <c r="AD250" s="428"/>
      <c r="AG250" s="252"/>
      <c r="AH250" s="252"/>
      <c r="AI250" s="252"/>
      <c r="AJ250" s="252"/>
      <c r="AK250" s="428"/>
      <c r="AL250" s="146"/>
    </row>
    <row r="251" spans="2:38" x14ac:dyDescent="0.25">
      <c r="B251" s="12" t="s">
        <v>21</v>
      </c>
      <c r="C251" s="12" t="s">
        <v>22</v>
      </c>
      <c r="D251" s="3" t="s">
        <v>10</v>
      </c>
      <c r="E251" s="44">
        <f>'Kalkulace a Porovnání'!E251</f>
        <v>0</v>
      </c>
      <c r="F251" s="44">
        <f>'Kalkulace a Porovnání'!F251</f>
        <v>0</v>
      </c>
      <c r="G251" s="44">
        <f>'Kalkulace a Porovnání'!G251</f>
        <v>0</v>
      </c>
      <c r="H251" s="30">
        <f>'Kalkulace a Porovnání'!H251</f>
        <v>0</v>
      </c>
      <c r="K251" s="12" t="s">
        <v>21</v>
      </c>
      <c r="L251" s="12" t="s">
        <v>22</v>
      </c>
      <c r="M251" s="3" t="s">
        <v>10</v>
      </c>
      <c r="N251" s="44">
        <f>'Kalkulace a Porovnání'!N251</f>
        <v>0</v>
      </c>
      <c r="O251" s="44">
        <f>'Kalkulace a Porovnání'!O251</f>
        <v>0</v>
      </c>
      <c r="P251" s="44">
        <f>'Kalkulace a Porovnání'!P251</f>
        <v>0</v>
      </c>
      <c r="Q251" s="30">
        <f>'Kalkulace a Porovnání'!Q251</f>
        <v>0</v>
      </c>
      <c r="T251" s="12" t="s">
        <v>21</v>
      </c>
      <c r="U251" s="12" t="s">
        <v>22</v>
      </c>
      <c r="V251" s="3" t="s">
        <v>10</v>
      </c>
      <c r="W251" s="44">
        <f>'Kalkulace a Porovnání'!W251</f>
        <v>0</v>
      </c>
      <c r="X251" s="44">
        <f>'Kalkulace a Porovnání'!X251</f>
        <v>0</v>
      </c>
      <c r="Y251" s="44">
        <f>'Kalkulace a Porovnání'!Y251</f>
        <v>0</v>
      </c>
      <c r="Z251" s="44">
        <f>'Kalkulace a Porovnání'!Z251</f>
        <v>0</v>
      </c>
      <c r="AA251" s="44">
        <f>'Kalkulace a Porovnání'!AA251</f>
        <v>0</v>
      </c>
      <c r="AB251" s="30">
        <f>'Kalkulace a Porovnání'!AB251</f>
        <v>0</v>
      </c>
      <c r="AC251" s="146"/>
      <c r="AD251" s="428"/>
      <c r="AG251" s="252"/>
      <c r="AH251" s="252"/>
      <c r="AI251" s="252"/>
      <c r="AJ251" s="252"/>
      <c r="AK251" s="428"/>
      <c r="AL251" s="146"/>
    </row>
    <row r="252" spans="2:38" x14ac:dyDescent="0.25">
      <c r="B252" s="12" t="s">
        <v>23</v>
      </c>
      <c r="C252" s="12" t="s">
        <v>24</v>
      </c>
      <c r="D252" s="3" t="s">
        <v>10</v>
      </c>
      <c r="E252" s="44">
        <f>'Kalkulace a Porovnání'!E252</f>
        <v>0</v>
      </c>
      <c r="F252" s="44">
        <f>'Kalkulace a Porovnání'!F252</f>
        <v>0</v>
      </c>
      <c r="G252" s="44">
        <f>'Kalkulace a Porovnání'!G252</f>
        <v>0</v>
      </c>
      <c r="H252" s="30">
        <f>'Kalkulace a Porovnání'!H252</f>
        <v>0</v>
      </c>
      <c r="K252" s="12" t="s">
        <v>23</v>
      </c>
      <c r="L252" s="12" t="s">
        <v>24</v>
      </c>
      <c r="M252" s="3" t="s">
        <v>10</v>
      </c>
      <c r="N252" s="44">
        <f>'Kalkulace a Porovnání'!N252</f>
        <v>0</v>
      </c>
      <c r="O252" s="44">
        <f>'Kalkulace a Porovnání'!O252</f>
        <v>0</v>
      </c>
      <c r="P252" s="44">
        <f>'Kalkulace a Porovnání'!P252</f>
        <v>0</v>
      </c>
      <c r="Q252" s="30">
        <f>'Kalkulace a Porovnání'!Q252</f>
        <v>0</v>
      </c>
      <c r="T252" s="12" t="s">
        <v>23</v>
      </c>
      <c r="U252" s="12" t="s">
        <v>24</v>
      </c>
      <c r="V252" s="3" t="s">
        <v>10</v>
      </c>
      <c r="W252" s="44">
        <f>'Kalkulace a Porovnání'!W252</f>
        <v>0</v>
      </c>
      <c r="X252" s="44">
        <f>'Kalkulace a Porovnání'!X252</f>
        <v>0</v>
      </c>
      <c r="Y252" s="44">
        <f>'Kalkulace a Porovnání'!Y252</f>
        <v>0</v>
      </c>
      <c r="Z252" s="44">
        <f>'Kalkulace a Porovnání'!Z252</f>
        <v>0</v>
      </c>
      <c r="AA252" s="44">
        <f>'Kalkulace a Porovnání'!AA252</f>
        <v>0</v>
      </c>
      <c r="AB252" s="30">
        <f>'Kalkulace a Porovnání'!AB252</f>
        <v>0</v>
      </c>
      <c r="AC252" s="146"/>
      <c r="AD252" s="428"/>
      <c r="AG252" s="252"/>
      <c r="AH252" s="252"/>
      <c r="AI252" s="252"/>
      <c r="AJ252" s="252"/>
      <c r="AK252" s="428"/>
      <c r="AL252" s="146"/>
    </row>
    <row r="253" spans="2:38" x14ac:dyDescent="0.25">
      <c r="B253" s="9" t="s">
        <v>25</v>
      </c>
      <c r="C253" s="10" t="s">
        <v>400</v>
      </c>
      <c r="D253" s="11" t="s">
        <v>10</v>
      </c>
      <c r="E253" s="41">
        <f>'Kalkulace a Porovnání'!E253</f>
        <v>0</v>
      </c>
      <c r="F253" s="41">
        <f>'Kalkulace a Porovnání'!F253</f>
        <v>0</v>
      </c>
      <c r="G253" s="41">
        <f>'Kalkulace a Porovnání'!G253</f>
        <v>0</v>
      </c>
      <c r="H253" s="86">
        <f>'Kalkulace a Porovnání'!H253</f>
        <v>0</v>
      </c>
      <c r="K253" s="9" t="s">
        <v>25</v>
      </c>
      <c r="L253" s="10" t="s">
        <v>400</v>
      </c>
      <c r="M253" s="11" t="s">
        <v>10</v>
      </c>
      <c r="N253" s="41">
        <f>'Kalkulace a Porovnání'!N253</f>
        <v>0</v>
      </c>
      <c r="O253" s="41">
        <f>'Kalkulace a Porovnání'!O253</f>
        <v>0</v>
      </c>
      <c r="P253" s="41">
        <f>'Kalkulace a Porovnání'!P253</f>
        <v>0</v>
      </c>
      <c r="Q253" s="86">
        <f>'Kalkulace a Porovnání'!Q253</f>
        <v>0</v>
      </c>
      <c r="T253" s="9" t="s">
        <v>25</v>
      </c>
      <c r="U253" s="10" t="s">
        <v>400</v>
      </c>
      <c r="V253" s="11" t="s">
        <v>10</v>
      </c>
      <c r="W253" s="41">
        <f>'Kalkulace a Porovnání'!W253</f>
        <v>0</v>
      </c>
      <c r="X253" s="41">
        <f>'Kalkulace a Porovnání'!X253</f>
        <v>0</v>
      </c>
      <c r="Y253" s="41">
        <f>'Kalkulace a Porovnání'!Y253</f>
        <v>0</v>
      </c>
      <c r="Z253" s="41">
        <f>'Kalkulace a Porovnání'!Z253</f>
        <v>0</v>
      </c>
      <c r="AA253" s="41">
        <f>'Kalkulace a Porovnání'!AA253</f>
        <v>0</v>
      </c>
      <c r="AB253" s="86">
        <f>'Kalkulace a Porovnání'!AB253</f>
        <v>0</v>
      </c>
      <c r="AC253" s="146"/>
      <c r="AD253" s="428"/>
      <c r="AG253" s="252"/>
      <c r="AH253" s="252"/>
      <c r="AI253" s="252"/>
      <c r="AJ253" s="252"/>
      <c r="AK253" s="428"/>
      <c r="AL253" s="146"/>
    </row>
    <row r="254" spans="2:38" x14ac:dyDescent="0.25">
      <c r="B254" s="12" t="s">
        <v>26</v>
      </c>
      <c r="C254" s="13" t="s">
        <v>390</v>
      </c>
      <c r="D254" s="3" t="s">
        <v>10</v>
      </c>
      <c r="E254" s="44">
        <f>'Kalkulace a Porovnání'!E254</f>
        <v>0</v>
      </c>
      <c r="F254" s="44">
        <f>'Kalkulace a Porovnání'!F254</f>
        <v>0</v>
      </c>
      <c r="G254" s="44">
        <f>'Kalkulace a Porovnání'!G254</f>
        <v>0</v>
      </c>
      <c r="H254" s="30">
        <f>'Kalkulace a Porovnání'!H254</f>
        <v>0</v>
      </c>
      <c r="K254" s="12" t="s">
        <v>26</v>
      </c>
      <c r="L254" s="13" t="s">
        <v>390</v>
      </c>
      <c r="M254" s="3" t="s">
        <v>10</v>
      </c>
      <c r="N254" s="44">
        <f>'Kalkulace a Porovnání'!N254</f>
        <v>0</v>
      </c>
      <c r="O254" s="44">
        <f>'Kalkulace a Porovnání'!O254</f>
        <v>0</v>
      </c>
      <c r="P254" s="44">
        <f>'Kalkulace a Porovnání'!P254</f>
        <v>0</v>
      </c>
      <c r="Q254" s="30">
        <f>'Kalkulace a Porovnání'!Q254</f>
        <v>0</v>
      </c>
      <c r="T254" s="12" t="s">
        <v>26</v>
      </c>
      <c r="U254" s="13" t="s">
        <v>390</v>
      </c>
      <c r="V254" s="3" t="s">
        <v>10</v>
      </c>
      <c r="W254" s="44">
        <f>'Kalkulace a Porovnání'!W254</f>
        <v>0</v>
      </c>
      <c r="X254" s="44">
        <f>'Kalkulace a Porovnání'!X254</f>
        <v>0</v>
      </c>
      <c r="Y254" s="44">
        <f>'Kalkulace a Porovnání'!Y254</f>
        <v>0</v>
      </c>
      <c r="Z254" s="44">
        <f>'Kalkulace a Porovnání'!Z254</f>
        <v>0</v>
      </c>
      <c r="AA254" s="44">
        <f>'Kalkulace a Porovnání'!AA254</f>
        <v>0</v>
      </c>
      <c r="AB254" s="30">
        <f>'Kalkulace a Porovnání'!AB254</f>
        <v>0</v>
      </c>
      <c r="AC254" s="146"/>
      <c r="AD254" s="428"/>
      <c r="AG254" s="252"/>
      <c r="AH254" s="252"/>
      <c r="AI254" s="252"/>
      <c r="AJ254" s="252"/>
      <c r="AK254" s="428"/>
      <c r="AL254" s="146"/>
    </row>
    <row r="255" spans="2:38" x14ac:dyDescent="0.25">
      <c r="B255" s="12" t="s">
        <v>27</v>
      </c>
      <c r="C255" s="13" t="s">
        <v>401</v>
      </c>
      <c r="D255" s="3" t="s">
        <v>10</v>
      </c>
      <c r="E255" s="44">
        <f>'Kalkulace a Porovnání'!E255</f>
        <v>0</v>
      </c>
      <c r="F255" s="44">
        <f>'Kalkulace a Porovnání'!F255</f>
        <v>0</v>
      </c>
      <c r="G255" s="44">
        <f>'Kalkulace a Porovnání'!G255</f>
        <v>0</v>
      </c>
      <c r="H255" s="30">
        <f>'Kalkulace a Porovnání'!H255</f>
        <v>0</v>
      </c>
      <c r="K255" s="12" t="s">
        <v>27</v>
      </c>
      <c r="L255" s="13" t="s">
        <v>401</v>
      </c>
      <c r="M255" s="3" t="s">
        <v>10</v>
      </c>
      <c r="N255" s="44">
        <f>'Kalkulace a Porovnání'!N255</f>
        <v>0</v>
      </c>
      <c r="O255" s="44">
        <f>'Kalkulace a Porovnání'!O255</f>
        <v>0</v>
      </c>
      <c r="P255" s="44">
        <f>'Kalkulace a Porovnání'!P255</f>
        <v>0</v>
      </c>
      <c r="Q255" s="30">
        <f>'Kalkulace a Porovnání'!Q255</f>
        <v>0</v>
      </c>
      <c r="T255" s="12" t="s">
        <v>27</v>
      </c>
      <c r="U255" s="13" t="s">
        <v>401</v>
      </c>
      <c r="V255" s="3" t="s">
        <v>10</v>
      </c>
      <c r="W255" s="44">
        <f>'Kalkulace a Porovnání'!W255</f>
        <v>0</v>
      </c>
      <c r="X255" s="44">
        <f>'Kalkulace a Porovnání'!X255</f>
        <v>0</v>
      </c>
      <c r="Y255" s="44">
        <f>'Kalkulace a Porovnání'!Y255</f>
        <v>0</v>
      </c>
      <c r="Z255" s="44">
        <f>'Kalkulace a Porovnání'!Z255</f>
        <v>0</v>
      </c>
      <c r="AA255" s="44">
        <f>'Kalkulace a Porovnání'!AA255</f>
        <v>0</v>
      </c>
      <c r="AB255" s="30">
        <f>'Kalkulace a Porovnání'!AB255</f>
        <v>0</v>
      </c>
      <c r="AC255" s="146"/>
      <c r="AD255" s="428"/>
      <c r="AG255" s="252"/>
      <c r="AH255" s="252"/>
      <c r="AI255" s="252"/>
      <c r="AJ255" s="252"/>
      <c r="AK255" s="428"/>
      <c r="AL255" s="146"/>
    </row>
    <row r="256" spans="2:38" x14ac:dyDescent="0.25">
      <c r="B256" s="9" t="s">
        <v>28</v>
      </c>
      <c r="C256" s="10" t="s">
        <v>29</v>
      </c>
      <c r="D256" s="11" t="s">
        <v>10</v>
      </c>
      <c r="E256" s="41">
        <f>'Kalkulace a Porovnání'!E256</f>
        <v>0</v>
      </c>
      <c r="F256" s="41">
        <f>'Kalkulace a Porovnání'!F256</f>
        <v>0</v>
      </c>
      <c r="G256" s="41">
        <f>'Kalkulace a Porovnání'!G256</f>
        <v>0</v>
      </c>
      <c r="H256" s="86">
        <f>'Kalkulace a Porovnání'!H256</f>
        <v>0</v>
      </c>
      <c r="K256" s="9" t="s">
        <v>28</v>
      </c>
      <c r="L256" s="10" t="s">
        <v>29</v>
      </c>
      <c r="M256" s="11" t="s">
        <v>10</v>
      </c>
      <c r="N256" s="41">
        <f>'Kalkulace a Porovnání'!N256</f>
        <v>0</v>
      </c>
      <c r="O256" s="41">
        <f>'Kalkulace a Porovnání'!O256</f>
        <v>0</v>
      </c>
      <c r="P256" s="41">
        <f>'Kalkulace a Porovnání'!P256</f>
        <v>0</v>
      </c>
      <c r="Q256" s="86">
        <f>'Kalkulace a Porovnání'!Q256</f>
        <v>0</v>
      </c>
      <c r="T256" s="9" t="s">
        <v>28</v>
      </c>
      <c r="U256" s="10" t="s">
        <v>29</v>
      </c>
      <c r="V256" s="11" t="s">
        <v>10</v>
      </c>
      <c r="W256" s="41">
        <f>'Kalkulace a Porovnání'!W256</f>
        <v>0</v>
      </c>
      <c r="X256" s="41">
        <f>'Kalkulace a Porovnání'!X256</f>
        <v>0</v>
      </c>
      <c r="Y256" s="41">
        <f>'Kalkulace a Porovnání'!Y256</f>
        <v>0</v>
      </c>
      <c r="Z256" s="41">
        <f>'Kalkulace a Porovnání'!Z256</f>
        <v>0</v>
      </c>
      <c r="AA256" s="41">
        <f>'Kalkulace a Porovnání'!AA256</f>
        <v>0</v>
      </c>
      <c r="AB256" s="86">
        <f>'Kalkulace a Porovnání'!AB256</f>
        <v>0</v>
      </c>
      <c r="AC256" s="146"/>
      <c r="AD256" s="428"/>
      <c r="AG256" s="252"/>
      <c r="AH256" s="252"/>
      <c r="AI256" s="252"/>
      <c r="AJ256" s="252"/>
      <c r="AK256" s="428"/>
      <c r="AL256" s="146"/>
    </row>
    <row r="257" spans="2:38" x14ac:dyDescent="0.25">
      <c r="B257" s="12" t="s">
        <v>30</v>
      </c>
      <c r="C257" s="21" t="s">
        <v>381</v>
      </c>
      <c r="D257" s="3" t="s">
        <v>10</v>
      </c>
      <c r="E257" s="44">
        <f>'Kalkulace a Porovnání'!E257</f>
        <v>0</v>
      </c>
      <c r="F257" s="44">
        <f>'Kalkulace a Porovnání'!F257</f>
        <v>0</v>
      </c>
      <c r="G257" s="44">
        <f>'Kalkulace a Porovnání'!G257</f>
        <v>0</v>
      </c>
      <c r="H257" s="30">
        <f>'Kalkulace a Porovnání'!H257</f>
        <v>0</v>
      </c>
      <c r="K257" s="12" t="s">
        <v>30</v>
      </c>
      <c r="L257" s="21" t="s">
        <v>381</v>
      </c>
      <c r="M257" s="3" t="s">
        <v>10</v>
      </c>
      <c r="N257" s="44">
        <f>'Kalkulace a Porovnání'!N257</f>
        <v>0</v>
      </c>
      <c r="O257" s="44">
        <f>'Kalkulace a Porovnání'!O257</f>
        <v>0</v>
      </c>
      <c r="P257" s="44">
        <f>'Kalkulace a Porovnání'!P257</f>
        <v>0</v>
      </c>
      <c r="Q257" s="30">
        <f>'Kalkulace a Porovnání'!Q257</f>
        <v>0</v>
      </c>
      <c r="T257" s="12" t="s">
        <v>30</v>
      </c>
      <c r="U257" s="21" t="s">
        <v>381</v>
      </c>
      <c r="V257" s="3" t="s">
        <v>10</v>
      </c>
      <c r="W257" s="44">
        <f>'Kalkulace a Porovnání'!W257</f>
        <v>0</v>
      </c>
      <c r="X257" s="44">
        <f>'Kalkulace a Porovnání'!X257</f>
        <v>0</v>
      </c>
      <c r="Y257" s="44">
        <f>'Kalkulace a Porovnání'!Y257</f>
        <v>0</v>
      </c>
      <c r="Z257" s="44">
        <f>'Kalkulace a Porovnání'!Z257</f>
        <v>0</v>
      </c>
      <c r="AA257" s="44">
        <f>'Kalkulace a Porovnání'!AA257</f>
        <v>0</v>
      </c>
      <c r="AB257" s="30">
        <f>'Kalkulace a Porovnání'!AB257</f>
        <v>0</v>
      </c>
      <c r="AC257" s="146"/>
      <c r="AD257" s="428"/>
      <c r="AG257" s="428"/>
      <c r="AH257" s="428"/>
      <c r="AI257" s="252"/>
      <c r="AJ257" s="252"/>
      <c r="AK257" s="428"/>
      <c r="AL257" s="146"/>
    </row>
    <row r="258" spans="2:38" x14ac:dyDescent="0.25">
      <c r="B258" s="12" t="s">
        <v>32</v>
      </c>
      <c r="C258" s="13" t="s">
        <v>383</v>
      </c>
      <c r="D258" s="3" t="s">
        <v>10</v>
      </c>
      <c r="E258" s="44">
        <f>'Kalkulace a Porovnání'!E258</f>
        <v>0</v>
      </c>
      <c r="F258" s="44">
        <f>'Kalkulace a Porovnání'!F258</f>
        <v>0</v>
      </c>
      <c r="G258" s="44">
        <f>'Kalkulace a Porovnání'!G258</f>
        <v>0</v>
      </c>
      <c r="H258" s="30">
        <f>'Kalkulace a Porovnání'!H258</f>
        <v>0</v>
      </c>
      <c r="K258" s="12" t="s">
        <v>32</v>
      </c>
      <c r="L258" s="13" t="s">
        <v>383</v>
      </c>
      <c r="M258" s="3" t="s">
        <v>10</v>
      </c>
      <c r="N258" s="44">
        <f>'Kalkulace a Porovnání'!N258</f>
        <v>0</v>
      </c>
      <c r="O258" s="44">
        <f>'Kalkulace a Porovnání'!O258</f>
        <v>0</v>
      </c>
      <c r="P258" s="44">
        <f>'Kalkulace a Porovnání'!P258</f>
        <v>0</v>
      </c>
      <c r="Q258" s="30">
        <f>'Kalkulace a Porovnání'!Q258</f>
        <v>0</v>
      </c>
      <c r="T258" s="12" t="s">
        <v>32</v>
      </c>
      <c r="U258" s="13" t="s">
        <v>383</v>
      </c>
      <c r="V258" s="3" t="s">
        <v>10</v>
      </c>
      <c r="W258" s="44">
        <f>'Kalkulace a Porovnání'!W258</f>
        <v>0</v>
      </c>
      <c r="X258" s="44">
        <f>'Kalkulace a Porovnání'!X258</f>
        <v>0</v>
      </c>
      <c r="Y258" s="44">
        <f>'Kalkulace a Porovnání'!Y258</f>
        <v>0</v>
      </c>
      <c r="Z258" s="44">
        <f>'Kalkulace a Porovnání'!Z258</f>
        <v>0</v>
      </c>
      <c r="AA258" s="44">
        <f>'Kalkulace a Porovnání'!AA258</f>
        <v>0</v>
      </c>
      <c r="AB258" s="30">
        <f>'Kalkulace a Porovnání'!AB258</f>
        <v>0</v>
      </c>
      <c r="AC258" s="146"/>
      <c r="AD258" s="428"/>
      <c r="AG258" s="428"/>
      <c r="AH258" s="428"/>
      <c r="AI258" s="252"/>
      <c r="AJ258" s="252"/>
      <c r="AK258" s="428"/>
      <c r="AL258" s="146"/>
    </row>
    <row r="259" spans="2:38" x14ac:dyDescent="0.25">
      <c r="B259" s="12" t="s">
        <v>33</v>
      </c>
      <c r="C259" s="13" t="s">
        <v>382</v>
      </c>
      <c r="D259" s="3" t="s">
        <v>10</v>
      </c>
      <c r="E259" s="44">
        <f>'Kalkulace a Porovnání'!E259</f>
        <v>0</v>
      </c>
      <c r="F259" s="44">
        <f>'Kalkulace a Porovnání'!F259</f>
        <v>0</v>
      </c>
      <c r="G259" s="44">
        <f>'Kalkulace a Porovnání'!G259</f>
        <v>0</v>
      </c>
      <c r="H259" s="30">
        <f>'Kalkulace a Porovnání'!H259</f>
        <v>0</v>
      </c>
      <c r="K259" s="12" t="s">
        <v>33</v>
      </c>
      <c r="L259" s="13" t="s">
        <v>382</v>
      </c>
      <c r="M259" s="3" t="s">
        <v>10</v>
      </c>
      <c r="N259" s="44">
        <f>'Kalkulace a Porovnání'!N259</f>
        <v>0</v>
      </c>
      <c r="O259" s="44">
        <f>'Kalkulace a Porovnání'!O259</f>
        <v>0</v>
      </c>
      <c r="P259" s="44">
        <f>'Kalkulace a Porovnání'!P259</f>
        <v>0</v>
      </c>
      <c r="Q259" s="30">
        <f>'Kalkulace a Porovnání'!Q259</f>
        <v>0</v>
      </c>
      <c r="T259" s="12" t="s">
        <v>33</v>
      </c>
      <c r="U259" s="13" t="s">
        <v>382</v>
      </c>
      <c r="V259" s="3" t="s">
        <v>10</v>
      </c>
      <c r="W259" s="44">
        <f>'Kalkulace a Porovnání'!W259</f>
        <v>0</v>
      </c>
      <c r="X259" s="44">
        <f>'Kalkulace a Porovnání'!X259</f>
        <v>0</v>
      </c>
      <c r="Y259" s="44">
        <f>'Kalkulace a Porovnání'!Y259</f>
        <v>0</v>
      </c>
      <c r="Z259" s="44">
        <f>'Kalkulace a Porovnání'!Z259</f>
        <v>0</v>
      </c>
      <c r="AA259" s="44">
        <f>'Kalkulace a Porovnání'!AA259</f>
        <v>0</v>
      </c>
      <c r="AB259" s="30">
        <f>'Kalkulace a Porovnání'!AB259</f>
        <v>0</v>
      </c>
      <c r="AC259" s="146"/>
      <c r="AD259" s="428"/>
      <c r="AG259" s="252"/>
      <c r="AH259" s="252"/>
      <c r="AI259" s="252"/>
      <c r="AJ259" s="252"/>
      <c r="AK259" s="428"/>
      <c r="AL259" s="146"/>
    </row>
    <row r="260" spans="2:38" x14ac:dyDescent="0.25">
      <c r="B260" s="12" t="s">
        <v>34</v>
      </c>
      <c r="C260" s="21" t="s">
        <v>384</v>
      </c>
      <c r="D260" s="3" t="s">
        <v>10</v>
      </c>
      <c r="E260" s="44">
        <f>'Kalkulace a Porovnání'!E260</f>
        <v>0</v>
      </c>
      <c r="F260" s="44">
        <f>'Kalkulace a Porovnání'!F260</f>
        <v>0</v>
      </c>
      <c r="G260" s="44">
        <f>'Kalkulace a Porovnání'!G260</f>
        <v>0</v>
      </c>
      <c r="H260" s="30">
        <f>'Kalkulace a Porovnání'!H260</f>
        <v>0</v>
      </c>
      <c r="K260" s="12" t="s">
        <v>34</v>
      </c>
      <c r="L260" s="21" t="s">
        <v>384</v>
      </c>
      <c r="M260" s="3" t="s">
        <v>10</v>
      </c>
      <c r="N260" s="44">
        <f>'Kalkulace a Porovnání'!N260</f>
        <v>0</v>
      </c>
      <c r="O260" s="44">
        <f>'Kalkulace a Porovnání'!O260</f>
        <v>0</v>
      </c>
      <c r="P260" s="44">
        <f>'Kalkulace a Porovnání'!P260</f>
        <v>0</v>
      </c>
      <c r="Q260" s="30">
        <f>'Kalkulace a Porovnání'!Q260</f>
        <v>0</v>
      </c>
      <c r="T260" s="12" t="s">
        <v>34</v>
      </c>
      <c r="U260" s="21" t="s">
        <v>384</v>
      </c>
      <c r="V260" s="3" t="s">
        <v>10</v>
      </c>
      <c r="W260" s="44">
        <f>'Kalkulace a Porovnání'!W260</f>
        <v>0</v>
      </c>
      <c r="X260" s="44">
        <f>'Kalkulace a Porovnání'!X260</f>
        <v>0</v>
      </c>
      <c r="Y260" s="44">
        <f>'Kalkulace a Porovnání'!Y260</f>
        <v>0</v>
      </c>
      <c r="Z260" s="44">
        <f>'Kalkulace a Porovnání'!Z260</f>
        <v>0</v>
      </c>
      <c r="AA260" s="44">
        <f>'Kalkulace a Porovnání'!AA260</f>
        <v>0</v>
      </c>
      <c r="AB260" s="30">
        <f>'Kalkulace a Porovnání'!AB260</f>
        <v>0</v>
      </c>
      <c r="AC260" s="146"/>
      <c r="AD260" s="428"/>
      <c r="AG260" s="252"/>
      <c r="AH260" s="252"/>
      <c r="AI260" s="252"/>
      <c r="AJ260" s="252"/>
      <c r="AK260" s="428"/>
      <c r="AL260" s="146"/>
    </row>
    <row r="261" spans="2:38" x14ac:dyDescent="0.25">
      <c r="B261" s="9" t="s">
        <v>35</v>
      </c>
      <c r="C261" s="10" t="s">
        <v>387</v>
      </c>
      <c r="D261" s="11" t="s">
        <v>10</v>
      </c>
      <c r="E261" s="41">
        <f>'Kalkulace a Porovnání'!E261</f>
        <v>0</v>
      </c>
      <c r="F261" s="41">
        <f>'Kalkulace a Porovnání'!F261</f>
        <v>0</v>
      </c>
      <c r="G261" s="41">
        <f>'Kalkulace a Porovnání'!G261</f>
        <v>0</v>
      </c>
      <c r="H261" s="86">
        <f>'Kalkulace a Porovnání'!H261</f>
        <v>0</v>
      </c>
      <c r="K261" s="9" t="s">
        <v>35</v>
      </c>
      <c r="L261" s="10" t="s">
        <v>387</v>
      </c>
      <c r="M261" s="11" t="s">
        <v>10</v>
      </c>
      <c r="N261" s="41">
        <f>'Kalkulace a Porovnání'!N261</f>
        <v>0</v>
      </c>
      <c r="O261" s="41">
        <f>'Kalkulace a Porovnání'!O261</f>
        <v>0</v>
      </c>
      <c r="P261" s="41">
        <f>'Kalkulace a Porovnání'!P261</f>
        <v>0</v>
      </c>
      <c r="Q261" s="86">
        <f>'Kalkulace a Porovnání'!Q261</f>
        <v>0</v>
      </c>
      <c r="T261" s="9" t="s">
        <v>35</v>
      </c>
      <c r="U261" s="10" t="s">
        <v>387</v>
      </c>
      <c r="V261" s="11" t="s">
        <v>10</v>
      </c>
      <c r="W261" s="41">
        <f>'Kalkulace a Porovnání'!W261</f>
        <v>0</v>
      </c>
      <c r="X261" s="41">
        <f>'Kalkulace a Porovnání'!X261</f>
        <v>0</v>
      </c>
      <c r="Y261" s="41">
        <f>'Kalkulace a Porovnání'!Y261</f>
        <v>0</v>
      </c>
      <c r="Z261" s="41">
        <f>'Kalkulace a Porovnání'!Z261</f>
        <v>0</v>
      </c>
      <c r="AA261" s="41">
        <f>'Kalkulace a Porovnání'!AA261</f>
        <v>0</v>
      </c>
      <c r="AB261" s="86">
        <f>'Kalkulace a Porovnání'!AB261</f>
        <v>0</v>
      </c>
      <c r="AC261" s="146"/>
      <c r="AD261" s="428"/>
      <c r="AG261" s="429"/>
      <c r="AH261" s="429"/>
      <c r="AI261" s="252"/>
      <c r="AJ261" s="252"/>
      <c r="AK261" s="428"/>
      <c r="AL261" s="146"/>
    </row>
    <row r="262" spans="2:38" x14ac:dyDescent="0.25">
      <c r="B262" s="12" t="s">
        <v>37</v>
      </c>
      <c r="C262" s="13" t="s">
        <v>38</v>
      </c>
      <c r="D262" s="3" t="s">
        <v>10</v>
      </c>
      <c r="E262" s="44">
        <f>'Kalkulace a Porovnání'!E262</f>
        <v>0</v>
      </c>
      <c r="F262" s="44">
        <f>'Kalkulace a Porovnání'!F262</f>
        <v>0</v>
      </c>
      <c r="G262" s="44">
        <f>'Kalkulace a Porovnání'!G262</f>
        <v>0</v>
      </c>
      <c r="H262" s="30">
        <f>'Kalkulace a Porovnání'!H262</f>
        <v>0</v>
      </c>
      <c r="K262" s="12" t="s">
        <v>37</v>
      </c>
      <c r="L262" s="13" t="s">
        <v>38</v>
      </c>
      <c r="M262" s="3" t="s">
        <v>10</v>
      </c>
      <c r="N262" s="44">
        <f>'Kalkulace a Porovnání'!N262</f>
        <v>0</v>
      </c>
      <c r="O262" s="44">
        <f>'Kalkulace a Porovnání'!O262</f>
        <v>0</v>
      </c>
      <c r="P262" s="44">
        <f>'Kalkulace a Porovnání'!P262</f>
        <v>0</v>
      </c>
      <c r="Q262" s="30">
        <f>'Kalkulace a Porovnání'!Q262</f>
        <v>0</v>
      </c>
      <c r="T262" s="12" t="s">
        <v>37</v>
      </c>
      <c r="U262" s="13" t="s">
        <v>38</v>
      </c>
      <c r="V262" s="3" t="s">
        <v>10</v>
      </c>
      <c r="W262" s="44">
        <f>'Kalkulace a Porovnání'!W262</f>
        <v>0</v>
      </c>
      <c r="X262" s="44">
        <f>'Kalkulace a Porovnání'!X262</f>
        <v>0</v>
      </c>
      <c r="Y262" s="44">
        <f>'Kalkulace a Porovnání'!Y262</f>
        <v>0</v>
      </c>
      <c r="Z262" s="44">
        <f>'Kalkulace a Porovnání'!Z262</f>
        <v>0</v>
      </c>
      <c r="AA262" s="44">
        <f>'Kalkulace a Porovnání'!AA262</f>
        <v>0</v>
      </c>
      <c r="AB262" s="30">
        <f>'Kalkulace a Porovnání'!AB262</f>
        <v>0</v>
      </c>
      <c r="AC262" s="146"/>
      <c r="AD262" s="428"/>
      <c r="AG262" s="1119"/>
      <c r="AH262" s="1119"/>
      <c r="AI262" s="252"/>
      <c r="AJ262" s="252"/>
      <c r="AK262" s="428"/>
      <c r="AL262" s="146"/>
    </row>
    <row r="263" spans="2:38" x14ac:dyDescent="0.25">
      <c r="B263" s="12" t="s">
        <v>39</v>
      </c>
      <c r="C263" s="12" t="s">
        <v>40</v>
      </c>
      <c r="D263" s="3" t="s">
        <v>10</v>
      </c>
      <c r="E263" s="44">
        <f>'Kalkulace a Porovnání'!E263</f>
        <v>0</v>
      </c>
      <c r="F263" s="44">
        <f>'Kalkulace a Porovnání'!F263</f>
        <v>0</v>
      </c>
      <c r="G263" s="44">
        <f>'Kalkulace a Porovnání'!G263</f>
        <v>0</v>
      </c>
      <c r="H263" s="30">
        <f>'Kalkulace a Porovnání'!H263</f>
        <v>0</v>
      </c>
      <c r="K263" s="12" t="s">
        <v>39</v>
      </c>
      <c r="L263" s="12" t="s">
        <v>40</v>
      </c>
      <c r="M263" s="3" t="s">
        <v>10</v>
      </c>
      <c r="N263" s="44">
        <f>'Kalkulace a Porovnání'!N263</f>
        <v>0</v>
      </c>
      <c r="O263" s="44">
        <f>'Kalkulace a Porovnání'!O263</f>
        <v>0</v>
      </c>
      <c r="P263" s="44">
        <f>'Kalkulace a Porovnání'!P263</f>
        <v>0</v>
      </c>
      <c r="Q263" s="30">
        <f>'Kalkulace a Porovnání'!Q263</f>
        <v>0</v>
      </c>
      <c r="T263" s="12" t="s">
        <v>39</v>
      </c>
      <c r="U263" s="12" t="s">
        <v>40</v>
      </c>
      <c r="V263" s="3" t="s">
        <v>10</v>
      </c>
      <c r="W263" s="44">
        <f>'Kalkulace a Porovnání'!W263</f>
        <v>0</v>
      </c>
      <c r="X263" s="44">
        <f>'Kalkulace a Porovnání'!X263</f>
        <v>0</v>
      </c>
      <c r="Y263" s="44">
        <f>'Kalkulace a Porovnání'!Y263</f>
        <v>0</v>
      </c>
      <c r="Z263" s="44">
        <f>'Kalkulace a Porovnání'!Z263</f>
        <v>0</v>
      </c>
      <c r="AA263" s="44">
        <f>'Kalkulace a Porovnání'!AA263</f>
        <v>0</v>
      </c>
      <c r="AB263" s="30">
        <f>'Kalkulace a Porovnání'!AB263</f>
        <v>0</v>
      </c>
      <c r="AC263" s="146"/>
      <c r="AD263" s="428"/>
      <c r="AG263" s="1119"/>
      <c r="AH263" s="1119"/>
      <c r="AI263" s="252"/>
      <c r="AJ263" s="252"/>
      <c r="AK263" s="428"/>
      <c r="AL263" s="146"/>
    </row>
    <row r="264" spans="2:38" x14ac:dyDescent="0.25">
      <c r="B264" s="12" t="s">
        <v>41</v>
      </c>
      <c r="C264" s="13" t="s">
        <v>42</v>
      </c>
      <c r="D264" s="3" t="s">
        <v>10</v>
      </c>
      <c r="E264" s="44">
        <f>'Kalkulace a Porovnání'!E264</f>
        <v>0</v>
      </c>
      <c r="F264" s="44">
        <f>'Kalkulace a Porovnání'!F264</f>
        <v>0</v>
      </c>
      <c r="G264" s="44">
        <f>'Kalkulace a Porovnání'!G264</f>
        <v>0</v>
      </c>
      <c r="H264" s="30">
        <f>'Kalkulace a Porovnání'!H264</f>
        <v>0</v>
      </c>
      <c r="K264" s="12" t="s">
        <v>41</v>
      </c>
      <c r="L264" s="13" t="s">
        <v>42</v>
      </c>
      <c r="M264" s="3" t="s">
        <v>10</v>
      </c>
      <c r="N264" s="44">
        <f>'Kalkulace a Porovnání'!N264</f>
        <v>0</v>
      </c>
      <c r="O264" s="44">
        <f>'Kalkulace a Porovnání'!O264</f>
        <v>0</v>
      </c>
      <c r="P264" s="44">
        <f>'Kalkulace a Porovnání'!P264</f>
        <v>0</v>
      </c>
      <c r="Q264" s="30">
        <f>'Kalkulace a Porovnání'!Q264</f>
        <v>0</v>
      </c>
      <c r="T264" s="12" t="s">
        <v>41</v>
      </c>
      <c r="U264" s="13" t="s">
        <v>42</v>
      </c>
      <c r="V264" s="3" t="s">
        <v>10</v>
      </c>
      <c r="W264" s="44">
        <f>'Kalkulace a Porovnání'!W264</f>
        <v>0</v>
      </c>
      <c r="X264" s="44">
        <f>'Kalkulace a Porovnání'!X264</f>
        <v>0</v>
      </c>
      <c r="Y264" s="44">
        <f>'Kalkulace a Porovnání'!Y264</f>
        <v>0</v>
      </c>
      <c r="Z264" s="44">
        <f>'Kalkulace a Porovnání'!Z264</f>
        <v>0</v>
      </c>
      <c r="AA264" s="44">
        <f>'Kalkulace a Porovnání'!AA264</f>
        <v>0</v>
      </c>
      <c r="AB264" s="30">
        <f>'Kalkulace a Porovnání'!AB264</f>
        <v>0</v>
      </c>
      <c r="AC264" s="146"/>
      <c r="AD264" s="428"/>
      <c r="AG264" s="426"/>
      <c r="AH264" s="426"/>
      <c r="AI264" s="252"/>
      <c r="AJ264" s="252"/>
      <c r="AK264" s="428"/>
      <c r="AL264" s="146"/>
    </row>
    <row r="265" spans="2:38" x14ac:dyDescent="0.25">
      <c r="B265" s="9" t="s">
        <v>43</v>
      </c>
      <c r="C265" s="10" t="s">
        <v>44</v>
      </c>
      <c r="D265" s="11" t="s">
        <v>10</v>
      </c>
      <c r="E265" s="44">
        <f>'Kalkulace a Porovnání'!E265</f>
        <v>0</v>
      </c>
      <c r="F265" s="44">
        <f>'Kalkulace a Porovnání'!F265</f>
        <v>0</v>
      </c>
      <c r="G265" s="44">
        <f>'Kalkulace a Porovnání'!G265</f>
        <v>0</v>
      </c>
      <c r="H265" s="30">
        <f>'Kalkulace a Porovnání'!H265</f>
        <v>0</v>
      </c>
      <c r="K265" s="9" t="s">
        <v>43</v>
      </c>
      <c r="L265" s="10" t="s">
        <v>44</v>
      </c>
      <c r="M265" s="11" t="s">
        <v>10</v>
      </c>
      <c r="N265" s="44">
        <f>'Kalkulace a Porovnání'!N265</f>
        <v>0</v>
      </c>
      <c r="O265" s="44">
        <f>'Kalkulace a Porovnání'!O265</f>
        <v>0</v>
      </c>
      <c r="P265" s="44">
        <f>'Kalkulace a Porovnání'!P265</f>
        <v>0</v>
      </c>
      <c r="Q265" s="30">
        <f>'Kalkulace a Porovnání'!Q265</f>
        <v>0</v>
      </c>
      <c r="T265" s="9" t="s">
        <v>43</v>
      </c>
      <c r="U265" s="10" t="s">
        <v>44</v>
      </c>
      <c r="V265" s="11" t="s">
        <v>10</v>
      </c>
      <c r="W265" s="44">
        <f>'Kalkulace a Porovnání'!W265</f>
        <v>0</v>
      </c>
      <c r="X265" s="44">
        <f>'Kalkulace a Porovnání'!X265</f>
        <v>0</v>
      </c>
      <c r="Y265" s="44">
        <f>'Kalkulace a Porovnání'!Y265</f>
        <v>0</v>
      </c>
      <c r="Z265" s="44">
        <f>'Kalkulace a Porovnání'!Z265</f>
        <v>0</v>
      </c>
      <c r="AA265" s="44">
        <f>'Kalkulace a Porovnání'!AA265</f>
        <v>0</v>
      </c>
      <c r="AB265" s="30">
        <f>'Kalkulace a Porovnání'!AB265</f>
        <v>0</v>
      </c>
      <c r="AC265" s="146"/>
      <c r="AD265" s="428"/>
      <c r="AG265" s="147"/>
      <c r="AH265" s="147"/>
      <c r="AI265" s="252"/>
      <c r="AJ265" s="252"/>
      <c r="AK265" s="428"/>
      <c r="AL265" s="146"/>
    </row>
    <row r="266" spans="2:38" x14ac:dyDescent="0.25">
      <c r="B266" s="9" t="s">
        <v>45</v>
      </c>
      <c r="C266" s="10" t="s">
        <v>388</v>
      </c>
      <c r="D266" s="11" t="s">
        <v>10</v>
      </c>
      <c r="E266" s="44">
        <f>'Kalkulace a Porovnání'!E266</f>
        <v>0</v>
      </c>
      <c r="F266" s="44">
        <f>'Kalkulace a Porovnání'!F266</f>
        <v>0</v>
      </c>
      <c r="G266" s="44">
        <f>'Kalkulace a Porovnání'!G266</f>
        <v>0</v>
      </c>
      <c r="H266" s="30">
        <f>'Kalkulace a Porovnání'!H266</f>
        <v>0</v>
      </c>
      <c r="K266" s="9" t="s">
        <v>45</v>
      </c>
      <c r="L266" s="10" t="s">
        <v>388</v>
      </c>
      <c r="M266" s="11" t="s">
        <v>10</v>
      </c>
      <c r="N266" s="44">
        <f>'Kalkulace a Porovnání'!N266</f>
        <v>0</v>
      </c>
      <c r="O266" s="44">
        <f>'Kalkulace a Porovnání'!O266</f>
        <v>0</v>
      </c>
      <c r="P266" s="44">
        <f>'Kalkulace a Porovnání'!P266</f>
        <v>0</v>
      </c>
      <c r="Q266" s="30">
        <f>'Kalkulace a Porovnání'!Q266</f>
        <v>0</v>
      </c>
      <c r="T266" s="9" t="s">
        <v>45</v>
      </c>
      <c r="U266" s="10" t="s">
        <v>388</v>
      </c>
      <c r="V266" s="11" t="s">
        <v>10</v>
      </c>
      <c r="W266" s="44">
        <f>'Kalkulace a Porovnání'!W266</f>
        <v>0</v>
      </c>
      <c r="X266" s="44">
        <f>'Kalkulace a Porovnání'!X266</f>
        <v>0</v>
      </c>
      <c r="Y266" s="44">
        <f>'Kalkulace a Porovnání'!Y266</f>
        <v>0</v>
      </c>
      <c r="Z266" s="44">
        <f>'Kalkulace a Porovnání'!Z266</f>
        <v>0</v>
      </c>
      <c r="AA266" s="44">
        <f>'Kalkulace a Porovnání'!AA266</f>
        <v>0</v>
      </c>
      <c r="AB266" s="30">
        <f>'Kalkulace a Porovnání'!AB266</f>
        <v>0</v>
      </c>
      <c r="AC266" s="146"/>
      <c r="AD266" s="428"/>
      <c r="AG266" s="147"/>
      <c r="AH266" s="147"/>
      <c r="AI266" s="252"/>
      <c r="AJ266" s="252"/>
      <c r="AK266" s="428"/>
      <c r="AL266" s="146"/>
    </row>
    <row r="267" spans="2:38" x14ac:dyDescent="0.25">
      <c r="B267" s="9" t="s">
        <v>46</v>
      </c>
      <c r="C267" s="10" t="s">
        <v>47</v>
      </c>
      <c r="D267" s="11" t="s">
        <v>10</v>
      </c>
      <c r="E267" s="44">
        <f>'Kalkulace a Porovnání'!E267</f>
        <v>0</v>
      </c>
      <c r="F267" s="44">
        <f>'Kalkulace a Porovnání'!F267</f>
        <v>0</v>
      </c>
      <c r="G267" s="44">
        <f>'Kalkulace a Porovnání'!G267</f>
        <v>0</v>
      </c>
      <c r="H267" s="30">
        <f>'Kalkulace a Porovnání'!H267</f>
        <v>0</v>
      </c>
      <c r="K267" s="9" t="s">
        <v>46</v>
      </c>
      <c r="L267" s="10" t="s">
        <v>47</v>
      </c>
      <c r="M267" s="11" t="s">
        <v>10</v>
      </c>
      <c r="N267" s="44">
        <f>'Kalkulace a Porovnání'!N267</f>
        <v>0</v>
      </c>
      <c r="O267" s="44">
        <f>'Kalkulace a Porovnání'!O267</f>
        <v>0</v>
      </c>
      <c r="P267" s="44">
        <f>'Kalkulace a Porovnání'!P267</f>
        <v>0</v>
      </c>
      <c r="Q267" s="30">
        <f>'Kalkulace a Porovnání'!Q267</f>
        <v>0</v>
      </c>
      <c r="T267" s="9" t="s">
        <v>46</v>
      </c>
      <c r="U267" s="10" t="s">
        <v>47</v>
      </c>
      <c r="V267" s="11" t="s">
        <v>10</v>
      </c>
      <c r="W267" s="44">
        <f>'Kalkulace a Porovnání'!W267</f>
        <v>0</v>
      </c>
      <c r="X267" s="44">
        <f>'Kalkulace a Porovnání'!X267</f>
        <v>0</v>
      </c>
      <c r="Y267" s="44">
        <f>'Kalkulace a Porovnání'!Y267</f>
        <v>0</v>
      </c>
      <c r="Z267" s="44">
        <f>'Kalkulace a Porovnání'!Z267</f>
        <v>0</v>
      </c>
      <c r="AA267" s="44">
        <f>'Kalkulace a Porovnání'!AA267</f>
        <v>0</v>
      </c>
      <c r="AB267" s="30">
        <f>'Kalkulace a Porovnání'!AB267</f>
        <v>0</v>
      </c>
      <c r="AC267" s="146"/>
      <c r="AD267" s="428"/>
      <c r="AG267" s="147"/>
      <c r="AH267" s="147"/>
      <c r="AI267" s="252"/>
      <c r="AJ267" s="252"/>
      <c r="AK267" s="428"/>
      <c r="AL267" s="146"/>
    </row>
    <row r="268" spans="2:38" x14ac:dyDescent="0.25">
      <c r="B268" s="9" t="s">
        <v>48</v>
      </c>
      <c r="C268" s="10" t="s">
        <v>49</v>
      </c>
      <c r="D268" s="11" t="s">
        <v>10</v>
      </c>
      <c r="E268" s="44">
        <f>'Kalkulace a Porovnání'!E268</f>
        <v>0</v>
      </c>
      <c r="F268" s="44">
        <f>'Kalkulace a Porovnání'!F268</f>
        <v>0</v>
      </c>
      <c r="G268" s="44">
        <f>'Kalkulace a Porovnání'!G268</f>
        <v>0</v>
      </c>
      <c r="H268" s="30">
        <f>'Kalkulace a Porovnání'!H268</f>
        <v>0</v>
      </c>
      <c r="K268" s="9" t="s">
        <v>48</v>
      </c>
      <c r="L268" s="10" t="s">
        <v>49</v>
      </c>
      <c r="M268" s="11" t="s">
        <v>10</v>
      </c>
      <c r="N268" s="44">
        <f>'Kalkulace a Porovnání'!N268</f>
        <v>0</v>
      </c>
      <c r="O268" s="44">
        <f>'Kalkulace a Porovnání'!O268</f>
        <v>0</v>
      </c>
      <c r="P268" s="44">
        <f>'Kalkulace a Porovnání'!P268</f>
        <v>0</v>
      </c>
      <c r="Q268" s="30">
        <f>'Kalkulace a Porovnání'!Q268</f>
        <v>0</v>
      </c>
      <c r="T268" s="9" t="s">
        <v>48</v>
      </c>
      <c r="U268" s="10" t="s">
        <v>49</v>
      </c>
      <c r="V268" s="11" t="s">
        <v>10</v>
      </c>
      <c r="W268" s="44">
        <f>'Kalkulace a Porovnání'!W268</f>
        <v>0</v>
      </c>
      <c r="X268" s="44">
        <f>'Kalkulace a Porovnání'!X268</f>
        <v>0</v>
      </c>
      <c r="Y268" s="44">
        <f>'Kalkulace a Porovnání'!Y268</f>
        <v>0</v>
      </c>
      <c r="Z268" s="44">
        <f>'Kalkulace a Porovnání'!Z268</f>
        <v>0</v>
      </c>
      <c r="AA268" s="44">
        <f>'Kalkulace a Porovnání'!AA268</f>
        <v>0</v>
      </c>
      <c r="AB268" s="30">
        <f>'Kalkulace a Porovnání'!AB268</f>
        <v>0</v>
      </c>
      <c r="AC268" s="146"/>
      <c r="AD268" s="428"/>
      <c r="AG268" s="147"/>
      <c r="AH268" s="147"/>
      <c r="AI268" s="252"/>
      <c r="AJ268" s="252"/>
      <c r="AK268" s="428"/>
      <c r="AL268" s="146"/>
    </row>
    <row r="269" spans="2:38" x14ac:dyDescent="0.25">
      <c r="B269" s="12" t="s">
        <v>386</v>
      </c>
      <c r="C269" s="13" t="s">
        <v>385</v>
      </c>
      <c r="D269" s="3" t="s">
        <v>10</v>
      </c>
      <c r="E269" s="44">
        <f>'Kalkulace a Porovnání'!E269</f>
        <v>0</v>
      </c>
      <c r="F269" s="44">
        <f>'Kalkulace a Porovnání'!F269</f>
        <v>0.02</v>
      </c>
      <c r="G269" s="44">
        <f>'Kalkulace a Porovnání'!G269</f>
        <v>0</v>
      </c>
      <c r="H269" s="30">
        <f>'Kalkulace a Porovnání'!H269</f>
        <v>0.02</v>
      </c>
      <c r="K269" s="12" t="s">
        <v>386</v>
      </c>
      <c r="L269" s="13" t="s">
        <v>385</v>
      </c>
      <c r="M269" s="3" t="s">
        <v>10</v>
      </c>
      <c r="N269" s="44">
        <f>'Kalkulace a Porovnání'!N269</f>
        <v>0</v>
      </c>
      <c r="O269" s="44">
        <f>'Kalkulace a Porovnání'!O269</f>
        <v>0</v>
      </c>
      <c r="P269" s="44">
        <f>'Kalkulace a Porovnání'!P269</f>
        <v>0</v>
      </c>
      <c r="Q269" s="30">
        <f>'Kalkulace a Porovnání'!Q269</f>
        <v>0</v>
      </c>
      <c r="T269" s="12" t="s">
        <v>386</v>
      </c>
      <c r="U269" s="13" t="s">
        <v>385</v>
      </c>
      <c r="V269" s="3" t="s">
        <v>10</v>
      </c>
      <c r="W269" s="44">
        <f>'Kalkulace a Porovnání'!W269</f>
        <v>0</v>
      </c>
      <c r="X269" s="44">
        <f>'Kalkulace a Porovnání'!X269</f>
        <v>0</v>
      </c>
      <c r="Y269" s="44">
        <f>'Kalkulace a Porovnání'!Y269</f>
        <v>0</v>
      </c>
      <c r="Z269" s="44">
        <f>'Kalkulace a Porovnání'!Z269</f>
        <v>0</v>
      </c>
      <c r="AA269" s="44">
        <f>'Kalkulace a Porovnání'!AA269</f>
        <v>0</v>
      </c>
      <c r="AB269" s="30">
        <f>'Kalkulace a Porovnání'!AB269</f>
        <v>0</v>
      </c>
      <c r="AC269" s="146"/>
      <c r="AD269" s="428"/>
      <c r="AG269" s="147"/>
      <c r="AH269" s="147"/>
      <c r="AI269" s="252"/>
      <c r="AJ269" s="252"/>
      <c r="AK269" s="428"/>
      <c r="AL269" s="146"/>
    </row>
    <row r="270" spans="2:38" x14ac:dyDescent="0.25">
      <c r="B270" s="9" t="s">
        <v>50</v>
      </c>
      <c r="C270" s="10" t="s">
        <v>391</v>
      </c>
      <c r="D270" s="11" t="s">
        <v>10</v>
      </c>
      <c r="E270" s="41">
        <f>'Kalkulace a Porovnání'!E270</f>
        <v>0</v>
      </c>
      <c r="F270" s="41">
        <f>'Kalkulace a Porovnání'!F270</f>
        <v>0</v>
      </c>
      <c r="G270" s="41">
        <f>'Kalkulace a Porovnání'!G270</f>
        <v>0</v>
      </c>
      <c r="H270" s="86">
        <f>'Kalkulace a Porovnání'!H270</f>
        <v>0</v>
      </c>
      <c r="K270" s="9" t="s">
        <v>50</v>
      </c>
      <c r="L270" s="10" t="s">
        <v>391</v>
      </c>
      <c r="M270" s="11" t="s">
        <v>10</v>
      </c>
      <c r="N270" s="41">
        <f>'Kalkulace a Porovnání'!N270</f>
        <v>0</v>
      </c>
      <c r="O270" s="41">
        <f>'Kalkulace a Porovnání'!O270</f>
        <v>0</v>
      </c>
      <c r="P270" s="41">
        <f>'Kalkulace a Porovnání'!P270</f>
        <v>0</v>
      </c>
      <c r="Q270" s="86">
        <f>'Kalkulace a Porovnání'!Q270</f>
        <v>0</v>
      </c>
      <c r="T270" s="9" t="s">
        <v>50</v>
      </c>
      <c r="U270" s="10" t="s">
        <v>391</v>
      </c>
      <c r="V270" s="11" t="s">
        <v>10</v>
      </c>
      <c r="W270" s="41">
        <f>'Kalkulace a Porovnání'!W270</f>
        <v>0</v>
      </c>
      <c r="X270" s="41">
        <f>'Kalkulace a Porovnání'!X270</f>
        <v>0</v>
      </c>
      <c r="Y270" s="41">
        <f>'Kalkulace a Porovnání'!Y270</f>
        <v>0</v>
      </c>
      <c r="Z270" s="41">
        <f>'Kalkulace a Porovnání'!Z270</f>
        <v>0</v>
      </c>
      <c r="AA270" s="41">
        <f>'Kalkulace a Porovnání'!AA270</f>
        <v>0</v>
      </c>
      <c r="AB270" s="86">
        <f>'Kalkulace a Porovnání'!AB270</f>
        <v>0</v>
      </c>
      <c r="AC270" s="146"/>
      <c r="AD270" s="428"/>
      <c r="AG270" s="147"/>
      <c r="AH270" s="147"/>
      <c r="AI270" s="252"/>
      <c r="AJ270" s="252"/>
      <c r="AK270" s="428"/>
      <c r="AL270" s="146"/>
    </row>
    <row r="271" spans="2:38" x14ac:dyDescent="0.25">
      <c r="B271" s="12" t="s">
        <v>389</v>
      </c>
      <c r="C271" s="13" t="s">
        <v>96</v>
      </c>
      <c r="D271" s="3" t="s">
        <v>10</v>
      </c>
      <c r="E271" s="329">
        <f>'Kalkulace a Porovnání'!E271</f>
        <v>0</v>
      </c>
      <c r="F271" s="329">
        <f>'Kalkulace a Porovnání'!F271</f>
        <v>0</v>
      </c>
      <c r="G271" s="329">
        <f>'Kalkulace a Porovnání'!G271</f>
        <v>0</v>
      </c>
      <c r="H271" s="330">
        <f>'Kalkulace a Porovnání'!H271</f>
        <v>0</v>
      </c>
      <c r="K271" s="12" t="s">
        <v>389</v>
      </c>
      <c r="L271" s="13" t="s">
        <v>96</v>
      </c>
      <c r="M271" s="3" t="s">
        <v>10</v>
      </c>
      <c r="N271" s="329">
        <f>'Kalkulace a Porovnání'!N271</f>
        <v>0</v>
      </c>
      <c r="O271" s="329">
        <f>'Kalkulace a Porovnání'!O271</f>
        <v>0</v>
      </c>
      <c r="P271" s="329">
        <f>'Kalkulace a Porovnání'!P271</f>
        <v>0</v>
      </c>
      <c r="Q271" s="330">
        <f>'Kalkulace a Porovnání'!Q271</f>
        <v>0</v>
      </c>
      <c r="T271" s="12" t="s">
        <v>389</v>
      </c>
      <c r="U271" s="13" t="s">
        <v>96</v>
      </c>
      <c r="V271" s="3" t="s">
        <v>10</v>
      </c>
      <c r="W271" s="329">
        <f>'Kalkulace a Porovnání'!W271</f>
        <v>0</v>
      </c>
      <c r="X271" s="329">
        <f>'Kalkulace a Porovnání'!X271</f>
        <v>0</v>
      </c>
      <c r="Y271" s="329">
        <f>'Kalkulace a Porovnání'!Y271</f>
        <v>0</v>
      </c>
      <c r="Z271" s="329">
        <f>'Kalkulace a Porovnání'!Z271</f>
        <v>0</v>
      </c>
      <c r="AA271" s="329">
        <f>'Kalkulace a Porovnání'!AA271</f>
        <v>0</v>
      </c>
      <c r="AB271" s="330">
        <f>'Kalkulace a Porovnání'!AB271</f>
        <v>0</v>
      </c>
      <c r="AC271" s="146"/>
      <c r="AD271" s="428"/>
      <c r="AG271" s="1120"/>
      <c r="AH271" s="1120"/>
      <c r="AI271" s="252"/>
      <c r="AJ271" s="252"/>
      <c r="AK271" s="428"/>
      <c r="AL271" s="146"/>
    </row>
    <row r="272" spans="2:38" x14ac:dyDescent="0.25">
      <c r="B272" s="12" t="s">
        <v>389</v>
      </c>
      <c r="C272" s="13" t="s">
        <v>97</v>
      </c>
      <c r="D272" s="3" t="s">
        <v>10</v>
      </c>
      <c r="E272" s="329">
        <f>'Kalkulace a Porovnání'!E272</f>
        <v>0</v>
      </c>
      <c r="F272" s="329">
        <f>'Kalkulace a Porovnání'!F272</f>
        <v>0</v>
      </c>
      <c r="G272" s="329">
        <f>'Kalkulace a Porovnání'!G272</f>
        <v>0</v>
      </c>
      <c r="H272" s="330">
        <f>'Kalkulace a Porovnání'!H272</f>
        <v>0</v>
      </c>
      <c r="K272" s="12" t="s">
        <v>389</v>
      </c>
      <c r="L272" s="13" t="s">
        <v>97</v>
      </c>
      <c r="M272" s="3" t="s">
        <v>10</v>
      </c>
      <c r="N272" s="329">
        <f>'Kalkulace a Porovnání'!N272</f>
        <v>0</v>
      </c>
      <c r="O272" s="329">
        <f>'Kalkulace a Porovnání'!O272</f>
        <v>0</v>
      </c>
      <c r="P272" s="329">
        <f>'Kalkulace a Porovnání'!P272</f>
        <v>0</v>
      </c>
      <c r="Q272" s="330">
        <f>'Kalkulace a Porovnání'!Q272</f>
        <v>0</v>
      </c>
      <c r="T272" s="12" t="s">
        <v>389</v>
      </c>
      <c r="U272" s="13" t="s">
        <v>97</v>
      </c>
      <c r="V272" s="3" t="s">
        <v>10</v>
      </c>
      <c r="W272" s="329">
        <f>'Kalkulace a Porovnání'!W272</f>
        <v>0</v>
      </c>
      <c r="X272" s="329">
        <f>'Kalkulace a Porovnání'!X272</f>
        <v>0</v>
      </c>
      <c r="Y272" s="329">
        <f>'Kalkulace a Porovnání'!Y272</f>
        <v>0</v>
      </c>
      <c r="Z272" s="329">
        <f>'Kalkulace a Porovnání'!Z272</f>
        <v>0</v>
      </c>
      <c r="AA272" s="329">
        <f>'Kalkulace a Porovnání'!AA272</f>
        <v>0</v>
      </c>
      <c r="AB272" s="330">
        <f>'Kalkulace a Porovnání'!AB272</f>
        <v>0</v>
      </c>
      <c r="AC272" s="146"/>
      <c r="AD272" s="428"/>
      <c r="AG272" s="1120"/>
      <c r="AH272" s="1120"/>
      <c r="AI272" s="252"/>
      <c r="AJ272" s="252"/>
      <c r="AK272" s="428"/>
      <c r="AL272" s="146"/>
    </row>
    <row r="273" spans="2:38" x14ac:dyDescent="0.25">
      <c r="B273" s="12" t="s">
        <v>51</v>
      </c>
      <c r="C273" s="13" t="s">
        <v>54</v>
      </c>
      <c r="D273" s="3" t="s">
        <v>55</v>
      </c>
      <c r="E273" s="331">
        <f>'Kalkulace a Porovnání'!E273</f>
        <v>0</v>
      </c>
      <c r="F273" s="331">
        <f>'Kalkulace a Porovnání'!F273</f>
        <v>0</v>
      </c>
      <c r="G273" s="331">
        <f>'Kalkulace a Porovnání'!G273</f>
        <v>0</v>
      </c>
      <c r="H273" s="332">
        <f>'Kalkulace a Porovnání'!H273</f>
        <v>0</v>
      </c>
      <c r="K273" s="12" t="s">
        <v>51</v>
      </c>
      <c r="L273" s="13" t="s">
        <v>54</v>
      </c>
      <c r="M273" s="3" t="s">
        <v>55</v>
      </c>
      <c r="N273" s="331">
        <f>'Kalkulace a Porovnání'!N273</f>
        <v>0</v>
      </c>
      <c r="O273" s="331">
        <f>'Kalkulace a Porovnání'!O273</f>
        <v>0</v>
      </c>
      <c r="P273" s="331">
        <f>'Kalkulace a Porovnání'!P273</f>
        <v>0</v>
      </c>
      <c r="Q273" s="332">
        <f>'Kalkulace a Porovnání'!Q273</f>
        <v>0</v>
      </c>
      <c r="T273" s="12" t="s">
        <v>51</v>
      </c>
      <c r="U273" s="13" t="s">
        <v>54</v>
      </c>
      <c r="V273" s="3" t="s">
        <v>55</v>
      </c>
      <c r="W273" s="331">
        <f>'Kalkulace a Porovnání'!W273</f>
        <v>0</v>
      </c>
      <c r="X273" s="331">
        <f>'Kalkulace a Porovnání'!X273</f>
        <v>0</v>
      </c>
      <c r="Y273" s="331">
        <f>'Kalkulace a Porovnání'!Y273</f>
        <v>0</v>
      </c>
      <c r="Z273" s="331">
        <f>'Kalkulace a Porovnání'!Z273</f>
        <v>0</v>
      </c>
      <c r="AA273" s="331">
        <f>'Kalkulace a Porovnání'!AA273</f>
        <v>0</v>
      </c>
      <c r="AB273" s="332">
        <f>'Kalkulace a Porovnání'!AB273</f>
        <v>0</v>
      </c>
      <c r="AC273" s="146"/>
      <c r="AD273" s="428"/>
      <c r="AG273" s="1119"/>
      <c r="AH273" s="1119"/>
      <c r="AI273" s="252"/>
      <c r="AJ273" s="252"/>
      <c r="AK273" s="428"/>
      <c r="AL273" s="146"/>
    </row>
    <row r="274" spans="2:38" x14ac:dyDescent="0.25">
      <c r="B274" s="12" t="s">
        <v>52</v>
      </c>
      <c r="C274" s="13" t="s">
        <v>57</v>
      </c>
      <c r="D274" s="3" t="s">
        <v>58</v>
      </c>
      <c r="E274" s="44">
        <f>'Kalkulace a Porovnání'!E274</f>
        <v>0</v>
      </c>
      <c r="F274" s="44">
        <f>'Kalkulace a Porovnání'!F274</f>
        <v>0</v>
      </c>
      <c r="G274" s="44">
        <f>'Kalkulace a Porovnání'!G274</f>
        <v>0</v>
      </c>
      <c r="H274" s="30">
        <f>'Kalkulace a Porovnání'!H274</f>
        <v>0</v>
      </c>
      <c r="K274" s="12" t="s">
        <v>52</v>
      </c>
      <c r="L274" s="13" t="s">
        <v>57</v>
      </c>
      <c r="M274" s="3" t="s">
        <v>58</v>
      </c>
      <c r="N274" s="44">
        <f>'Kalkulace a Porovnání'!N274</f>
        <v>0</v>
      </c>
      <c r="O274" s="44">
        <f>'Kalkulace a Porovnání'!O274</f>
        <v>0</v>
      </c>
      <c r="P274" s="44">
        <f>'Kalkulace a Porovnání'!P274</f>
        <v>0</v>
      </c>
      <c r="Q274" s="30">
        <f>'Kalkulace a Porovnání'!Q274</f>
        <v>0</v>
      </c>
      <c r="T274" s="12" t="s">
        <v>52</v>
      </c>
      <c r="U274" s="13" t="s">
        <v>57</v>
      </c>
      <c r="V274" s="3" t="s">
        <v>58</v>
      </c>
      <c r="W274" s="44">
        <f>'Kalkulace a Porovnání'!W274</f>
        <v>0</v>
      </c>
      <c r="X274" s="44">
        <f>'Kalkulace a Porovnání'!X274</f>
        <v>0</v>
      </c>
      <c r="Y274" s="44">
        <f>'Kalkulace a Porovnání'!Y274</f>
        <v>0</v>
      </c>
      <c r="Z274" s="44">
        <f>'Kalkulace a Porovnání'!Z274</f>
        <v>0</v>
      </c>
      <c r="AA274" s="44">
        <f>'Kalkulace a Porovnání'!AA274</f>
        <v>0</v>
      </c>
      <c r="AB274" s="30">
        <f>'Kalkulace a Porovnání'!AB274</f>
        <v>0</v>
      </c>
      <c r="AC274" s="146"/>
      <c r="AD274" s="428"/>
      <c r="AG274" s="1119"/>
      <c r="AH274" s="1119"/>
      <c r="AI274" s="252"/>
      <c r="AJ274" s="252"/>
      <c r="AK274" s="428"/>
      <c r="AL274" s="146"/>
    </row>
    <row r="275" spans="2:38" x14ac:dyDescent="0.25">
      <c r="B275" s="12" t="s">
        <v>53</v>
      </c>
      <c r="C275" s="13" t="s">
        <v>60</v>
      </c>
      <c r="D275" s="3" t="s">
        <v>58</v>
      </c>
      <c r="E275" s="44">
        <f>'Kalkulace a Porovnání'!E275</f>
        <v>0</v>
      </c>
      <c r="F275" s="44">
        <f>'Kalkulace a Porovnání'!F275</f>
        <v>0</v>
      </c>
      <c r="G275" s="44">
        <f>'Kalkulace a Porovnání'!G275</f>
        <v>0</v>
      </c>
      <c r="H275" s="30">
        <f>'Kalkulace a Porovnání'!H275</f>
        <v>0</v>
      </c>
      <c r="K275" s="12" t="s">
        <v>53</v>
      </c>
      <c r="L275" s="13" t="s">
        <v>60</v>
      </c>
      <c r="M275" s="3" t="s">
        <v>58</v>
      </c>
      <c r="N275" s="44">
        <f>'Kalkulace a Porovnání'!N275</f>
        <v>0</v>
      </c>
      <c r="O275" s="44">
        <f>'Kalkulace a Porovnání'!O275</f>
        <v>0</v>
      </c>
      <c r="P275" s="44">
        <f>'Kalkulace a Porovnání'!P275</f>
        <v>0</v>
      </c>
      <c r="Q275" s="30">
        <f>'Kalkulace a Porovnání'!Q275</f>
        <v>0</v>
      </c>
      <c r="T275" s="12" t="s">
        <v>53</v>
      </c>
      <c r="U275" s="13" t="s">
        <v>60</v>
      </c>
      <c r="V275" s="3" t="s">
        <v>58</v>
      </c>
      <c r="W275" s="44">
        <f>'Kalkulace a Porovnání'!W275</f>
        <v>0</v>
      </c>
      <c r="X275" s="44">
        <f>'Kalkulace a Porovnání'!X275</f>
        <v>0</v>
      </c>
      <c r="Y275" s="44">
        <f>'Kalkulace a Porovnání'!Y275</f>
        <v>0</v>
      </c>
      <c r="Z275" s="44">
        <f>'Kalkulace a Porovnání'!Z275</f>
        <v>0</v>
      </c>
      <c r="AA275" s="44">
        <f>'Kalkulace a Porovnání'!AA275</f>
        <v>0</v>
      </c>
      <c r="AB275" s="30">
        <f>'Kalkulace a Porovnání'!AB275</f>
        <v>0</v>
      </c>
      <c r="AC275" s="146"/>
      <c r="AD275" s="428"/>
      <c r="AG275" s="147"/>
      <c r="AH275" s="147"/>
      <c r="AI275" s="252"/>
      <c r="AJ275" s="252"/>
      <c r="AK275" s="428"/>
      <c r="AL275" s="146"/>
    </row>
    <row r="276" spans="2:38" x14ac:dyDescent="0.25">
      <c r="B276" s="12" t="s">
        <v>56</v>
      </c>
      <c r="C276" s="13" t="s">
        <v>62</v>
      </c>
      <c r="D276" s="3" t="s">
        <v>58</v>
      </c>
      <c r="E276" s="44">
        <f>'Kalkulace a Porovnání'!E276</f>
        <v>0</v>
      </c>
      <c r="F276" s="44">
        <f>'Kalkulace a Porovnání'!F276</f>
        <v>0</v>
      </c>
      <c r="G276" s="44">
        <f>'Kalkulace a Porovnání'!G276</f>
        <v>0</v>
      </c>
      <c r="H276" s="30">
        <f>'Kalkulace a Porovnání'!H276</f>
        <v>0</v>
      </c>
      <c r="K276" s="12" t="s">
        <v>56</v>
      </c>
      <c r="L276" s="13" t="s">
        <v>62</v>
      </c>
      <c r="M276" s="3" t="s">
        <v>58</v>
      </c>
      <c r="N276" s="44">
        <f>'Kalkulace a Porovnání'!N276</f>
        <v>0</v>
      </c>
      <c r="O276" s="44">
        <f>'Kalkulace a Porovnání'!O276</f>
        <v>0</v>
      </c>
      <c r="P276" s="44">
        <f>'Kalkulace a Porovnání'!P276</f>
        <v>0</v>
      </c>
      <c r="Q276" s="30">
        <f>'Kalkulace a Porovnání'!Q276</f>
        <v>0</v>
      </c>
      <c r="T276" s="12" t="s">
        <v>56</v>
      </c>
      <c r="U276" s="13" t="s">
        <v>62</v>
      </c>
      <c r="V276" s="3" t="s">
        <v>58</v>
      </c>
      <c r="W276" s="44">
        <f>'Kalkulace a Porovnání'!W276</f>
        <v>0</v>
      </c>
      <c r="X276" s="44">
        <f>'Kalkulace a Porovnání'!X276</f>
        <v>0</v>
      </c>
      <c r="Y276" s="44">
        <f>'Kalkulace a Porovnání'!Y276</f>
        <v>0</v>
      </c>
      <c r="Z276" s="44">
        <f>'Kalkulace a Porovnání'!Z276</f>
        <v>0</v>
      </c>
      <c r="AA276" s="44">
        <f>'Kalkulace a Porovnání'!AA276</f>
        <v>0</v>
      </c>
      <c r="AB276" s="30">
        <f>'Kalkulace a Porovnání'!AB276</f>
        <v>0</v>
      </c>
      <c r="AC276" s="146"/>
      <c r="AD276" s="428"/>
      <c r="AG276" s="430"/>
      <c r="AH276" s="430"/>
      <c r="AI276" s="252"/>
      <c r="AJ276" s="252"/>
      <c r="AK276" s="428"/>
      <c r="AL276" s="146"/>
    </row>
    <row r="277" spans="2:38" x14ac:dyDescent="0.25">
      <c r="B277" s="12" t="s">
        <v>59</v>
      </c>
      <c r="C277" s="13" t="s">
        <v>60</v>
      </c>
      <c r="D277" s="3" t="s">
        <v>58</v>
      </c>
      <c r="E277" s="44">
        <f>'Kalkulace a Porovnání'!E277</f>
        <v>0</v>
      </c>
      <c r="F277" s="44">
        <f>'Kalkulace a Porovnání'!F277</f>
        <v>0</v>
      </c>
      <c r="G277" s="44">
        <f>'Kalkulace a Porovnání'!G277</f>
        <v>0</v>
      </c>
      <c r="H277" s="30">
        <f>'Kalkulace a Porovnání'!H277</f>
        <v>0</v>
      </c>
      <c r="K277" s="12" t="s">
        <v>59</v>
      </c>
      <c r="L277" s="13" t="s">
        <v>60</v>
      </c>
      <c r="M277" s="3" t="s">
        <v>58</v>
      </c>
      <c r="N277" s="44">
        <f>'Kalkulace a Porovnání'!N277</f>
        <v>0</v>
      </c>
      <c r="O277" s="44">
        <f>'Kalkulace a Porovnání'!O277</f>
        <v>0</v>
      </c>
      <c r="P277" s="44">
        <f>'Kalkulace a Porovnání'!P277</f>
        <v>0</v>
      </c>
      <c r="Q277" s="30">
        <f>'Kalkulace a Porovnání'!Q277</f>
        <v>0</v>
      </c>
      <c r="T277" s="12" t="s">
        <v>59</v>
      </c>
      <c r="U277" s="13" t="s">
        <v>60</v>
      </c>
      <c r="V277" s="3" t="s">
        <v>58</v>
      </c>
      <c r="W277" s="44">
        <f>'Kalkulace a Porovnání'!W277</f>
        <v>0</v>
      </c>
      <c r="X277" s="44">
        <f>'Kalkulace a Porovnání'!X277</f>
        <v>0</v>
      </c>
      <c r="Y277" s="44">
        <f>'Kalkulace a Porovnání'!Y277</f>
        <v>0</v>
      </c>
      <c r="Z277" s="44">
        <f>'Kalkulace a Porovnání'!Z277</f>
        <v>0</v>
      </c>
      <c r="AA277" s="44">
        <f>'Kalkulace a Porovnání'!AA277</f>
        <v>0</v>
      </c>
      <c r="AB277" s="30">
        <f>'Kalkulace a Porovnání'!AB277</f>
        <v>0</v>
      </c>
      <c r="AC277" s="146"/>
      <c r="AD277" s="428"/>
      <c r="AG277" s="427"/>
      <c r="AH277" s="427"/>
      <c r="AI277" s="252"/>
      <c r="AJ277" s="252"/>
      <c r="AK277" s="428"/>
      <c r="AL277" s="146"/>
    </row>
    <row r="278" spans="2:38" x14ac:dyDescent="0.25">
      <c r="B278" s="12" t="s">
        <v>61</v>
      </c>
      <c r="C278" s="13" t="s">
        <v>65</v>
      </c>
      <c r="D278" s="3" t="s">
        <v>58</v>
      </c>
      <c r="E278" s="44">
        <f>'Kalkulace a Porovnání'!E278</f>
        <v>0</v>
      </c>
      <c r="F278" s="44">
        <f>'Kalkulace a Porovnání'!F278</f>
        <v>0</v>
      </c>
      <c r="G278" s="44">
        <f>'Kalkulace a Porovnání'!G278</f>
        <v>0</v>
      </c>
      <c r="H278" s="30">
        <f>'Kalkulace a Porovnání'!H278</f>
        <v>0</v>
      </c>
      <c r="K278" s="12" t="s">
        <v>61</v>
      </c>
      <c r="L278" s="13" t="s">
        <v>65</v>
      </c>
      <c r="M278" s="3" t="s">
        <v>58</v>
      </c>
      <c r="N278" s="44">
        <f>'Kalkulace a Porovnání'!N278</f>
        <v>0</v>
      </c>
      <c r="O278" s="44">
        <f>'Kalkulace a Porovnání'!O278</f>
        <v>0</v>
      </c>
      <c r="P278" s="44">
        <f>'Kalkulace a Porovnání'!P278</f>
        <v>0</v>
      </c>
      <c r="Q278" s="30">
        <f>'Kalkulace a Porovnání'!Q278</f>
        <v>0</v>
      </c>
      <c r="T278" s="12" t="s">
        <v>61</v>
      </c>
      <c r="U278" s="13" t="s">
        <v>65</v>
      </c>
      <c r="V278" s="3" t="s">
        <v>58</v>
      </c>
      <c r="W278" s="44">
        <f>'Kalkulace a Porovnání'!W278</f>
        <v>0</v>
      </c>
      <c r="X278" s="44">
        <f>'Kalkulace a Porovnání'!X278</f>
        <v>0</v>
      </c>
      <c r="Y278" s="44">
        <f>'Kalkulace a Porovnání'!Y278</f>
        <v>0</v>
      </c>
      <c r="Z278" s="44">
        <f>'Kalkulace a Porovnání'!Z278</f>
        <v>0</v>
      </c>
      <c r="AA278" s="44">
        <f>'Kalkulace a Porovnání'!AA278</f>
        <v>0</v>
      </c>
      <c r="AB278" s="30">
        <f>'Kalkulace a Porovnání'!AB278</f>
        <v>0</v>
      </c>
      <c r="AC278" s="146"/>
      <c r="AD278" s="428"/>
      <c r="AG278" s="147"/>
      <c r="AH278" s="147"/>
      <c r="AI278" s="430"/>
      <c r="AJ278" s="430"/>
      <c r="AK278" s="428"/>
      <c r="AL278" s="146"/>
    </row>
    <row r="279" spans="2:38" x14ac:dyDescent="0.25">
      <c r="B279" s="12" t="s">
        <v>63</v>
      </c>
      <c r="C279" s="13" t="s">
        <v>67</v>
      </c>
      <c r="D279" s="3" t="s">
        <v>58</v>
      </c>
      <c r="E279" s="44">
        <f>'Kalkulace a Porovnání'!E279</f>
        <v>0</v>
      </c>
      <c r="F279" s="44">
        <f>'Kalkulace a Porovnání'!F279</f>
        <v>0</v>
      </c>
      <c r="G279" s="44">
        <f>'Kalkulace a Porovnání'!G279</f>
        <v>0</v>
      </c>
      <c r="H279" s="30">
        <f>'Kalkulace a Porovnání'!H279</f>
        <v>0</v>
      </c>
      <c r="K279" s="12" t="s">
        <v>63</v>
      </c>
      <c r="L279" s="13" t="s">
        <v>67</v>
      </c>
      <c r="M279" s="3" t="s">
        <v>58</v>
      </c>
      <c r="N279" s="44">
        <f>'Kalkulace a Porovnání'!N279</f>
        <v>0</v>
      </c>
      <c r="O279" s="44">
        <f>'Kalkulace a Porovnání'!O279</f>
        <v>0</v>
      </c>
      <c r="P279" s="44">
        <f>'Kalkulace a Porovnání'!P279</f>
        <v>0</v>
      </c>
      <c r="Q279" s="30">
        <f>'Kalkulace a Porovnání'!Q279</f>
        <v>0</v>
      </c>
      <c r="T279" s="12" t="s">
        <v>63</v>
      </c>
      <c r="U279" s="13" t="s">
        <v>67</v>
      </c>
      <c r="V279" s="3" t="s">
        <v>58</v>
      </c>
      <c r="W279" s="44">
        <f>'Kalkulace a Porovnání'!W279</f>
        <v>0</v>
      </c>
      <c r="X279" s="44">
        <f>'Kalkulace a Porovnání'!X279</f>
        <v>0</v>
      </c>
      <c r="Y279" s="44">
        <f>'Kalkulace a Porovnání'!Y279</f>
        <v>0</v>
      </c>
      <c r="Z279" s="44">
        <f>'Kalkulace a Porovnání'!Z279</f>
        <v>0</v>
      </c>
      <c r="AA279" s="44">
        <f>'Kalkulace a Porovnání'!AA279</f>
        <v>0</v>
      </c>
      <c r="AB279" s="30">
        <f>'Kalkulace a Porovnání'!AB279</f>
        <v>0</v>
      </c>
      <c r="AC279" s="146"/>
      <c r="AD279" s="428"/>
      <c r="AG279" s="147"/>
      <c r="AH279" s="147"/>
      <c r="AI279" s="430"/>
      <c r="AJ279" s="430"/>
      <c r="AK279" s="428"/>
      <c r="AL279" s="146"/>
    </row>
    <row r="280" spans="2:38" x14ac:dyDescent="0.25">
      <c r="B280" s="12" t="s">
        <v>64</v>
      </c>
      <c r="C280" s="13" t="s">
        <v>68</v>
      </c>
      <c r="D280" s="3" t="s">
        <v>58</v>
      </c>
      <c r="E280" s="44">
        <f>'Kalkulace a Porovnání'!E280</f>
        <v>0</v>
      </c>
      <c r="F280" s="44">
        <f>'Kalkulace a Porovnání'!F280</f>
        <v>0</v>
      </c>
      <c r="G280" s="44">
        <f>'Kalkulace a Porovnání'!G280</f>
        <v>0</v>
      </c>
      <c r="H280" s="30">
        <f>'Kalkulace a Porovnání'!H280</f>
        <v>0</v>
      </c>
      <c r="K280" s="12" t="s">
        <v>64</v>
      </c>
      <c r="L280" s="13" t="s">
        <v>68</v>
      </c>
      <c r="M280" s="3" t="s">
        <v>58</v>
      </c>
      <c r="N280" s="44">
        <f>'Kalkulace a Porovnání'!N280</f>
        <v>0</v>
      </c>
      <c r="O280" s="44">
        <f>'Kalkulace a Porovnání'!O280</f>
        <v>0</v>
      </c>
      <c r="P280" s="44">
        <f>'Kalkulace a Porovnání'!P280</f>
        <v>0</v>
      </c>
      <c r="Q280" s="30">
        <f>'Kalkulace a Porovnání'!Q280</f>
        <v>0</v>
      </c>
      <c r="T280" s="12" t="s">
        <v>64</v>
      </c>
      <c r="U280" s="13" t="s">
        <v>68</v>
      </c>
      <c r="V280" s="3" t="s">
        <v>58</v>
      </c>
      <c r="W280" s="44">
        <f>'Kalkulace a Porovnání'!W280</f>
        <v>0</v>
      </c>
      <c r="X280" s="44">
        <f>'Kalkulace a Porovnání'!X280</f>
        <v>0</v>
      </c>
      <c r="Y280" s="44">
        <f>'Kalkulace a Porovnání'!Y280</f>
        <v>0</v>
      </c>
      <c r="Z280" s="44">
        <f>'Kalkulace a Porovnání'!Z280</f>
        <v>0</v>
      </c>
      <c r="AA280" s="44">
        <f>'Kalkulace a Porovnání'!AA280</f>
        <v>0</v>
      </c>
      <c r="AB280" s="30">
        <f>'Kalkulace a Porovnání'!AB280</f>
        <v>0</v>
      </c>
      <c r="AC280" s="146"/>
      <c r="AD280" s="428"/>
      <c r="AG280" s="147"/>
      <c r="AH280" s="147"/>
      <c r="AI280" s="430"/>
      <c r="AJ280" s="430"/>
      <c r="AK280" s="428"/>
      <c r="AL280" s="146"/>
    </row>
    <row r="281" spans="2:38" x14ac:dyDescent="0.25">
      <c r="B281" s="12" t="s">
        <v>66</v>
      </c>
      <c r="C281" s="13" t="s">
        <v>69</v>
      </c>
      <c r="D281" s="3" t="s">
        <v>58</v>
      </c>
      <c r="E281" s="44">
        <f>'Kalkulace a Porovnání'!E281</f>
        <v>0</v>
      </c>
      <c r="F281" s="44">
        <f>'Kalkulace a Porovnání'!F281</f>
        <v>0</v>
      </c>
      <c r="G281" s="44">
        <f>'Kalkulace a Porovnání'!G281</f>
        <v>0</v>
      </c>
      <c r="H281" s="30">
        <f>'Kalkulace a Porovnání'!H281</f>
        <v>0</v>
      </c>
      <c r="K281" s="12" t="s">
        <v>66</v>
      </c>
      <c r="L281" s="13" t="s">
        <v>69</v>
      </c>
      <c r="M281" s="3" t="s">
        <v>58</v>
      </c>
      <c r="N281" s="44">
        <f>'Kalkulace a Porovnání'!N281</f>
        <v>0</v>
      </c>
      <c r="O281" s="44">
        <f>'Kalkulace a Porovnání'!O281</f>
        <v>0</v>
      </c>
      <c r="P281" s="44">
        <f>'Kalkulace a Porovnání'!P281</f>
        <v>0</v>
      </c>
      <c r="Q281" s="30">
        <f>'Kalkulace a Porovnání'!Q281</f>
        <v>0</v>
      </c>
      <c r="T281" s="12" t="s">
        <v>66</v>
      </c>
      <c r="U281" s="13" t="s">
        <v>69</v>
      </c>
      <c r="V281" s="3" t="s">
        <v>58</v>
      </c>
      <c r="W281" s="44">
        <f>'Kalkulace a Porovnání'!W281</f>
        <v>0</v>
      </c>
      <c r="X281" s="44">
        <f>'Kalkulace a Porovnání'!X281</f>
        <v>0</v>
      </c>
      <c r="Y281" s="44">
        <f>'Kalkulace a Porovnání'!Y281</f>
        <v>0</v>
      </c>
      <c r="Z281" s="44">
        <f>'Kalkulace a Porovnání'!Z281</f>
        <v>0</v>
      </c>
      <c r="AA281" s="44">
        <f>'Kalkulace a Porovnání'!AA281</f>
        <v>0</v>
      </c>
      <c r="AB281" s="30">
        <f>'Kalkulace a Porovnání'!AB281</f>
        <v>0</v>
      </c>
      <c r="AC281" s="146"/>
      <c r="AD281" s="428"/>
      <c r="AG281" s="314"/>
      <c r="AH281" s="314"/>
      <c r="AI281" s="252"/>
      <c r="AJ281" s="252"/>
      <c r="AK281" s="428"/>
      <c r="AL281" s="146"/>
    </row>
    <row r="282" spans="2:38" x14ac:dyDescent="0.25">
      <c r="B282" s="1"/>
      <c r="C282" s="1"/>
      <c r="D282" s="1"/>
      <c r="E282" s="1"/>
      <c r="F282" s="1"/>
      <c r="G282" s="1"/>
      <c r="H282" s="1"/>
      <c r="K282" s="1"/>
      <c r="L282" s="1"/>
      <c r="M282" s="1"/>
      <c r="N282" s="1"/>
      <c r="O282" s="1"/>
      <c r="P282" s="1"/>
      <c r="Q282" s="1"/>
      <c r="T282" s="1"/>
      <c r="U282" s="1"/>
      <c r="V282" s="1"/>
      <c r="W282" s="1"/>
      <c r="X282" s="1"/>
      <c r="Y282" s="1"/>
      <c r="Z282" s="1"/>
      <c r="AA282" s="1"/>
      <c r="AB282" s="1"/>
      <c r="AC282" s="146"/>
      <c r="AD282" s="428"/>
      <c r="AG282" s="428"/>
      <c r="AH282" s="428"/>
      <c r="AI282" s="428"/>
      <c r="AJ282" s="428"/>
      <c r="AK282" s="428"/>
      <c r="AL282" s="146"/>
    </row>
    <row r="283" spans="2:38" x14ac:dyDescent="0.25">
      <c r="B283" s="1052" t="s">
        <v>5</v>
      </c>
      <c r="C283" s="884" t="s">
        <v>70</v>
      </c>
      <c r="D283" s="868"/>
      <c r="E283" s="1082"/>
      <c r="F283" s="1083"/>
      <c r="G283" s="868"/>
      <c r="H283" s="869"/>
      <c r="K283" s="1052" t="s">
        <v>5</v>
      </c>
      <c r="L283" s="884" t="s">
        <v>70</v>
      </c>
      <c r="M283" s="868"/>
      <c r="N283" s="1082"/>
      <c r="O283" s="1083"/>
      <c r="P283" s="868"/>
      <c r="Q283" s="869"/>
      <c r="T283" s="1098" t="s">
        <v>5</v>
      </c>
      <c r="U283" s="884" t="s">
        <v>70</v>
      </c>
      <c r="V283" s="868"/>
      <c r="W283" s="1082"/>
      <c r="X283" s="1082"/>
      <c r="Y283" s="1083"/>
      <c r="Z283" s="868"/>
      <c r="AA283" s="868"/>
      <c r="AB283" s="869"/>
      <c r="AC283" s="146"/>
      <c r="AD283" s="428"/>
      <c r="AG283" s="428"/>
      <c r="AH283" s="428"/>
      <c r="AI283" s="428"/>
      <c r="AJ283" s="428"/>
      <c r="AK283" s="428"/>
      <c r="AL283" s="146"/>
    </row>
    <row r="284" spans="2:38" x14ac:dyDescent="0.25">
      <c r="B284" s="1053"/>
      <c r="C284" s="1052" t="s">
        <v>71</v>
      </c>
      <c r="D284" s="1065" t="s">
        <v>133</v>
      </c>
      <c r="E284" s="1085" t="s">
        <v>102</v>
      </c>
      <c r="F284" s="1086"/>
      <c r="G284" s="85" t="s">
        <v>3</v>
      </c>
      <c r="H284" s="23" t="s">
        <v>4</v>
      </c>
      <c r="K284" s="1053"/>
      <c r="L284" s="5" t="s">
        <v>71</v>
      </c>
      <c r="M284" s="1065" t="s">
        <v>133</v>
      </c>
      <c r="N284" s="1085" t="s">
        <v>102</v>
      </c>
      <c r="O284" s="1086"/>
      <c r="P284" s="85" t="s">
        <v>3</v>
      </c>
      <c r="Q284" s="23" t="s">
        <v>4</v>
      </c>
      <c r="T284" s="1099"/>
      <c r="U284" s="1052" t="s">
        <v>71</v>
      </c>
      <c r="V284" s="1065" t="s">
        <v>133</v>
      </c>
      <c r="W284" s="1085" t="s">
        <v>102</v>
      </c>
      <c r="X284" s="1086"/>
      <c r="Y284" s="1085" t="s">
        <v>3</v>
      </c>
      <c r="Z284" s="1101"/>
      <c r="AA284" s="1102" t="s">
        <v>4</v>
      </c>
      <c r="AB284" s="1102"/>
      <c r="AC284" s="146"/>
      <c r="AD284" s="428"/>
      <c r="AG284" s="428"/>
      <c r="AH284" s="428"/>
      <c r="AI284" s="428"/>
      <c r="AJ284" s="428"/>
      <c r="AK284" s="428"/>
      <c r="AL284" s="146"/>
    </row>
    <row r="285" spans="2:38" x14ac:dyDescent="0.25">
      <c r="B285" s="1054"/>
      <c r="C285" s="1054"/>
      <c r="D285" s="1084"/>
      <c r="E285" s="1087"/>
      <c r="F285" s="1088"/>
      <c r="G285" s="26" t="s">
        <v>7</v>
      </c>
      <c r="H285" s="24" t="s">
        <v>7</v>
      </c>
      <c r="K285" s="1054"/>
      <c r="L285" s="8"/>
      <c r="M285" s="1084"/>
      <c r="N285" s="1087"/>
      <c r="O285" s="1088"/>
      <c r="P285" s="26" t="s">
        <v>7</v>
      </c>
      <c r="Q285" s="24" t="s">
        <v>7</v>
      </c>
      <c r="T285" s="1100"/>
      <c r="U285" s="1054"/>
      <c r="V285" s="1084"/>
      <c r="W285" s="1087"/>
      <c r="X285" s="1088"/>
      <c r="Y285" s="37" t="s">
        <v>148</v>
      </c>
      <c r="Z285" s="37" t="s">
        <v>7</v>
      </c>
      <c r="AA285" s="37" t="s">
        <v>148</v>
      </c>
      <c r="AB285" s="37" t="s">
        <v>7</v>
      </c>
      <c r="AC285" s="146"/>
      <c r="AD285" s="428"/>
      <c r="AG285" s="428"/>
      <c r="AH285" s="428"/>
      <c r="AI285" s="428"/>
      <c r="AJ285" s="428"/>
      <c r="AK285" s="428"/>
      <c r="AL285" s="146"/>
    </row>
    <row r="286" spans="2:38" x14ac:dyDescent="0.25">
      <c r="B286" s="11">
        <v>1</v>
      </c>
      <c r="C286" s="11">
        <v>2</v>
      </c>
      <c r="D286" s="11" t="s">
        <v>95</v>
      </c>
      <c r="E286" s="873" t="s">
        <v>99</v>
      </c>
      <c r="F286" s="874"/>
      <c r="G286" s="11" t="s">
        <v>100</v>
      </c>
      <c r="H286" s="22" t="s">
        <v>101</v>
      </c>
      <c r="K286" s="11">
        <v>1</v>
      </c>
      <c r="L286" s="11">
        <v>2</v>
      </c>
      <c r="M286" s="11" t="s">
        <v>95</v>
      </c>
      <c r="N286" s="873" t="s">
        <v>99</v>
      </c>
      <c r="O286" s="874"/>
      <c r="P286" s="11" t="s">
        <v>100</v>
      </c>
      <c r="Q286" s="22" t="s">
        <v>101</v>
      </c>
      <c r="T286" s="11">
        <v>1</v>
      </c>
      <c r="U286" s="11">
        <v>2</v>
      </c>
      <c r="V286" s="11" t="s">
        <v>95</v>
      </c>
      <c r="W286" s="1096" t="s">
        <v>99</v>
      </c>
      <c r="X286" s="1097"/>
      <c r="Y286" s="11" t="s">
        <v>153</v>
      </c>
      <c r="Z286" s="11" t="s">
        <v>100</v>
      </c>
      <c r="AA286" s="11" t="s">
        <v>152</v>
      </c>
      <c r="AB286" s="22" t="s">
        <v>101</v>
      </c>
      <c r="AC286" s="146"/>
      <c r="AD286" s="428"/>
      <c r="AG286" s="428"/>
      <c r="AH286" s="428"/>
      <c r="AI286" s="428"/>
      <c r="AJ286" s="428"/>
      <c r="AK286" s="428"/>
      <c r="AL286" s="146"/>
    </row>
    <row r="287" spans="2:38" x14ac:dyDescent="0.25">
      <c r="B287" s="12" t="s">
        <v>72</v>
      </c>
      <c r="C287" s="13" t="s">
        <v>104</v>
      </c>
      <c r="D287" s="13" t="s">
        <v>73</v>
      </c>
      <c r="E287" s="875" t="s">
        <v>403</v>
      </c>
      <c r="F287" s="859"/>
      <c r="G287" s="138">
        <f>'Kalkulace a Porovnání'!G287</f>
        <v>0</v>
      </c>
      <c r="H287" s="138">
        <f>'Kalkulace a Porovnání'!H287</f>
        <v>0</v>
      </c>
      <c r="K287" s="12" t="s">
        <v>72</v>
      </c>
      <c r="L287" s="13" t="s">
        <v>104</v>
      </c>
      <c r="M287" s="13" t="s">
        <v>73</v>
      </c>
      <c r="N287" s="875" t="s">
        <v>403</v>
      </c>
      <c r="O287" s="859"/>
      <c r="P287" s="138">
        <f>'Kalkulace a Porovnání'!P287</f>
        <v>0</v>
      </c>
      <c r="Q287" s="138">
        <f>'Kalkulace a Porovnání'!Q287</f>
        <v>0</v>
      </c>
      <c r="T287" s="12" t="s">
        <v>72</v>
      </c>
      <c r="U287" s="13" t="s">
        <v>104</v>
      </c>
      <c r="V287" s="13" t="s">
        <v>73</v>
      </c>
      <c r="W287" s="875" t="s">
        <v>403</v>
      </c>
      <c r="X287" s="859"/>
      <c r="Y287" s="138">
        <f>'Kalkulace a Porovnání'!Y287</f>
        <v>0</v>
      </c>
      <c r="Z287" s="138">
        <f>'Kalkulace a Porovnání'!Z287</f>
        <v>0</v>
      </c>
      <c r="AA287" s="138">
        <f>'Kalkulace a Porovnání'!AA287</f>
        <v>0</v>
      </c>
      <c r="AB287" s="138">
        <f>'Kalkulace a Porovnání'!AB287</f>
        <v>0</v>
      </c>
      <c r="AC287" s="146"/>
      <c r="AD287" s="428"/>
      <c r="AG287" s="428"/>
      <c r="AH287" s="428"/>
      <c r="AI287" s="428"/>
      <c r="AJ287" s="428"/>
      <c r="AK287" s="428"/>
      <c r="AL287" s="146"/>
    </row>
    <row r="288" spans="2:38" x14ac:dyDescent="0.25">
      <c r="B288" s="12" t="s">
        <v>74</v>
      </c>
      <c r="C288" s="13" t="s">
        <v>358</v>
      </c>
      <c r="D288" s="13" t="s">
        <v>10</v>
      </c>
      <c r="E288" s="858" t="s">
        <v>404</v>
      </c>
      <c r="F288" s="870"/>
      <c r="G288" s="138">
        <f>G289+G290</f>
        <v>0</v>
      </c>
      <c r="H288" s="138">
        <f>H289+H290</f>
        <v>0</v>
      </c>
      <c r="K288" s="12" t="s">
        <v>74</v>
      </c>
      <c r="L288" s="13" t="s">
        <v>358</v>
      </c>
      <c r="M288" s="13" t="s">
        <v>10</v>
      </c>
      <c r="N288" s="858" t="s">
        <v>404</v>
      </c>
      <c r="O288" s="870"/>
      <c r="P288" s="138">
        <f>P289+P290</f>
        <v>0</v>
      </c>
      <c r="Q288" s="138">
        <f>Q289+Q290</f>
        <v>0</v>
      </c>
      <c r="T288" s="12" t="s">
        <v>74</v>
      </c>
      <c r="U288" s="13" t="s">
        <v>358</v>
      </c>
      <c r="V288" s="13" t="s">
        <v>10</v>
      </c>
      <c r="W288" s="858" t="s">
        <v>404</v>
      </c>
      <c r="X288" s="870"/>
      <c r="Y288" s="138">
        <f t="shared" ref="Y288:AB288" si="3">Y289+Y290</f>
        <v>0</v>
      </c>
      <c r="Z288" s="138">
        <f t="shared" si="3"/>
        <v>0</v>
      </c>
      <c r="AA288" s="138">
        <f t="shared" si="3"/>
        <v>0</v>
      </c>
      <c r="AB288" s="138">
        <f t="shared" si="3"/>
        <v>0</v>
      </c>
      <c r="AC288" s="146"/>
      <c r="AD288" s="428"/>
      <c r="AG288" s="428"/>
      <c r="AH288" s="428"/>
      <c r="AI288" s="428"/>
      <c r="AJ288" s="428"/>
      <c r="AK288" s="428"/>
      <c r="AL288" s="146"/>
    </row>
    <row r="289" spans="2:38" x14ac:dyDescent="0.25">
      <c r="B289" s="12" t="s">
        <v>352</v>
      </c>
      <c r="C289" s="13" t="s">
        <v>359</v>
      </c>
      <c r="D289" s="13" t="s">
        <v>10</v>
      </c>
      <c r="E289" s="871"/>
      <c r="F289" s="872"/>
      <c r="G289" s="138">
        <f>'Kalkulace a Porovnání'!G289</f>
        <v>0</v>
      </c>
      <c r="H289" s="138">
        <f>'Kalkulace a Porovnání'!H289</f>
        <v>0</v>
      </c>
      <c r="K289" s="12" t="s">
        <v>352</v>
      </c>
      <c r="L289" s="13" t="s">
        <v>359</v>
      </c>
      <c r="M289" s="13" t="s">
        <v>10</v>
      </c>
      <c r="N289" s="871"/>
      <c r="O289" s="872"/>
      <c r="P289" s="138">
        <f>'Kalkulace a Porovnání'!P289</f>
        <v>0</v>
      </c>
      <c r="Q289" s="138">
        <f>'Kalkulace a Porovnání'!Q289</f>
        <v>0</v>
      </c>
      <c r="T289" s="12" t="s">
        <v>352</v>
      </c>
      <c r="U289" s="13" t="s">
        <v>359</v>
      </c>
      <c r="V289" s="13" t="s">
        <v>10</v>
      </c>
      <c r="W289" s="871"/>
      <c r="X289" s="872"/>
      <c r="Y289" s="138">
        <f>'Kalkulace a Porovnání'!Y289</f>
        <v>0</v>
      </c>
      <c r="Z289" s="138">
        <f>'Kalkulace a Porovnání'!Z289</f>
        <v>0</v>
      </c>
      <c r="AA289" s="138">
        <f>'Kalkulace a Porovnání'!AA289</f>
        <v>0</v>
      </c>
      <c r="AB289" s="138">
        <f>'Kalkulace a Porovnání'!AB289</f>
        <v>0</v>
      </c>
      <c r="AC289" s="146"/>
      <c r="AD289" s="428"/>
      <c r="AG289" s="428"/>
      <c r="AH289" s="428"/>
      <c r="AI289" s="428"/>
      <c r="AJ289" s="428"/>
      <c r="AK289" s="428"/>
      <c r="AL289" s="146"/>
    </row>
    <row r="290" spans="2:38" x14ac:dyDescent="0.25">
      <c r="B290" s="12" t="s">
        <v>361</v>
      </c>
      <c r="C290" s="13" t="s">
        <v>360</v>
      </c>
      <c r="D290" s="13" t="s">
        <v>10</v>
      </c>
      <c r="E290" s="884"/>
      <c r="F290" s="869"/>
      <c r="G290" s="138">
        <f>'Kalkulace a Porovnání'!G290</f>
        <v>0</v>
      </c>
      <c r="H290" s="138">
        <f>'Kalkulace a Porovnání'!H290</f>
        <v>0</v>
      </c>
      <c r="K290" s="12" t="s">
        <v>361</v>
      </c>
      <c r="L290" s="13" t="s">
        <v>360</v>
      </c>
      <c r="M290" s="13" t="s">
        <v>10</v>
      </c>
      <c r="N290" s="884"/>
      <c r="O290" s="869"/>
      <c r="P290" s="138">
        <f>'Kalkulace a Porovnání'!P290</f>
        <v>0</v>
      </c>
      <c r="Q290" s="138">
        <f>'Kalkulace a Porovnání'!Q290</f>
        <v>0</v>
      </c>
      <c r="T290" s="12" t="s">
        <v>361</v>
      </c>
      <c r="U290" s="13" t="s">
        <v>360</v>
      </c>
      <c r="V290" s="13" t="s">
        <v>10</v>
      </c>
      <c r="W290" s="884"/>
      <c r="X290" s="869"/>
      <c r="Y290" s="138">
        <f>'Kalkulace a Porovnání'!Y290</f>
        <v>0</v>
      </c>
      <c r="Z290" s="138">
        <f>'Kalkulace a Porovnání'!Z290</f>
        <v>0</v>
      </c>
      <c r="AA290" s="138">
        <f>'Kalkulace a Porovnání'!AA290</f>
        <v>0</v>
      </c>
      <c r="AB290" s="138">
        <f>'Kalkulace a Porovnání'!AB290</f>
        <v>0</v>
      </c>
      <c r="AC290" s="146"/>
      <c r="AD290" s="428"/>
      <c r="AG290" s="428"/>
      <c r="AH290" s="428"/>
      <c r="AI290" s="428"/>
      <c r="AJ290" s="428"/>
      <c r="AK290" s="428"/>
      <c r="AL290" s="146"/>
    </row>
    <row r="291" spans="2:38" x14ac:dyDescent="0.25">
      <c r="B291" s="12" t="s">
        <v>75</v>
      </c>
      <c r="C291" s="13" t="s">
        <v>396</v>
      </c>
      <c r="D291" s="13" t="s">
        <v>10</v>
      </c>
      <c r="E291" s="858" t="s">
        <v>405</v>
      </c>
      <c r="F291" s="859"/>
      <c r="G291" s="341">
        <f>'Kalkulace a Porovnání'!G291</f>
        <v>0</v>
      </c>
      <c r="H291" s="341">
        <f>'Kalkulace a Porovnání'!H291</f>
        <v>0</v>
      </c>
      <c r="K291" s="12" t="s">
        <v>75</v>
      </c>
      <c r="L291" s="13" t="s">
        <v>396</v>
      </c>
      <c r="M291" s="13" t="s">
        <v>10</v>
      </c>
      <c r="N291" s="858" t="s">
        <v>405</v>
      </c>
      <c r="O291" s="859"/>
      <c r="P291" s="341">
        <f>'Kalkulace a Porovnání'!P291</f>
        <v>0</v>
      </c>
      <c r="Q291" s="341">
        <f>'Kalkulace a Porovnání'!Q291</f>
        <v>0</v>
      </c>
      <c r="T291" s="12" t="s">
        <v>75</v>
      </c>
      <c r="U291" s="13" t="s">
        <v>396</v>
      </c>
      <c r="V291" s="13" t="s">
        <v>10</v>
      </c>
      <c r="W291" s="858" t="s">
        <v>405</v>
      </c>
      <c r="X291" s="859"/>
      <c r="Y291" s="341">
        <f>'Kalkulace a Porovnání'!Y291</f>
        <v>0</v>
      </c>
      <c r="Z291" s="341">
        <f>'Kalkulace a Porovnání'!Z291</f>
        <v>0</v>
      </c>
      <c r="AA291" s="341">
        <f>'Kalkulace a Porovnání'!AA291</f>
        <v>0</v>
      </c>
      <c r="AB291" s="341">
        <f>'Kalkulace a Porovnání'!AB291</f>
        <v>0</v>
      </c>
      <c r="AC291" s="146"/>
      <c r="AD291" s="428"/>
      <c r="AG291" s="428"/>
      <c r="AH291" s="428"/>
      <c r="AI291" s="428"/>
      <c r="AJ291" s="428"/>
      <c r="AK291" s="428"/>
      <c r="AL291" s="146"/>
    </row>
    <row r="292" spans="2:38" x14ac:dyDescent="0.25">
      <c r="B292" s="12" t="s">
        <v>76</v>
      </c>
      <c r="C292" s="13" t="s">
        <v>373</v>
      </c>
      <c r="D292" s="13" t="s">
        <v>10</v>
      </c>
      <c r="E292" s="858"/>
      <c r="F292" s="859"/>
      <c r="G292" s="341">
        <f>'Kalkulace a Porovnání'!G292</f>
        <v>0</v>
      </c>
      <c r="H292" s="341">
        <f>'Kalkulace a Porovnání'!H292</f>
        <v>0</v>
      </c>
      <c r="K292" s="12" t="s">
        <v>76</v>
      </c>
      <c r="L292" s="13" t="s">
        <v>373</v>
      </c>
      <c r="M292" s="13" t="s">
        <v>10</v>
      </c>
      <c r="N292" s="858"/>
      <c r="O292" s="859"/>
      <c r="P292" s="341">
        <f>'Kalkulace a Porovnání'!P292</f>
        <v>0</v>
      </c>
      <c r="Q292" s="341">
        <f>'Kalkulace a Porovnání'!Q292</f>
        <v>0</v>
      </c>
      <c r="T292" s="12" t="s">
        <v>76</v>
      </c>
      <c r="U292" s="13" t="s">
        <v>373</v>
      </c>
      <c r="V292" s="13" t="s">
        <v>10</v>
      </c>
      <c r="W292" s="858"/>
      <c r="X292" s="859"/>
      <c r="Y292" s="341">
        <f>'Kalkulace a Porovnání'!Y292</f>
        <v>2.3999896640999999E-2</v>
      </c>
      <c r="Z292" s="341">
        <f>'Kalkulace a Porovnání'!Z292</f>
        <v>0</v>
      </c>
      <c r="AA292" s="341">
        <f>'Kalkulace a Porovnání'!AA292</f>
        <v>0.100000278</v>
      </c>
      <c r="AB292" s="341">
        <f>'Kalkulace a Porovnání'!AB292</f>
        <v>0</v>
      </c>
      <c r="AC292" s="146"/>
      <c r="AD292" s="428"/>
      <c r="AG292" s="428"/>
      <c r="AH292" s="428"/>
      <c r="AI292" s="428"/>
      <c r="AJ292" s="428"/>
      <c r="AK292" s="428"/>
      <c r="AL292" s="146"/>
    </row>
    <row r="293" spans="2:38" x14ac:dyDescent="0.25">
      <c r="B293" s="12" t="s">
        <v>78</v>
      </c>
      <c r="C293" s="21" t="s">
        <v>402</v>
      </c>
      <c r="D293" s="13" t="s">
        <v>77</v>
      </c>
      <c r="E293" s="875" t="s">
        <v>406</v>
      </c>
      <c r="F293" s="859"/>
      <c r="G293" s="138">
        <f>'Kalkulace a Porovnání'!G293</f>
        <v>0</v>
      </c>
      <c r="H293" s="138">
        <f>'Kalkulace a Porovnání'!H293</f>
        <v>0</v>
      </c>
      <c r="K293" s="12" t="s">
        <v>78</v>
      </c>
      <c r="L293" s="21" t="s">
        <v>402</v>
      </c>
      <c r="M293" s="13" t="s">
        <v>77</v>
      </c>
      <c r="N293" s="875" t="s">
        <v>406</v>
      </c>
      <c r="O293" s="859"/>
      <c r="P293" s="138">
        <f>'Kalkulace a Porovnání'!P293</f>
        <v>0</v>
      </c>
      <c r="Q293" s="138">
        <f>'Kalkulace a Porovnání'!Q293</f>
        <v>0</v>
      </c>
      <c r="T293" s="12" t="s">
        <v>78</v>
      </c>
      <c r="U293" s="21" t="s">
        <v>402</v>
      </c>
      <c r="V293" s="13" t="s">
        <v>77</v>
      </c>
      <c r="W293" s="875" t="s">
        <v>406</v>
      </c>
      <c r="X293" s="859"/>
      <c r="Y293" s="138">
        <f>'Kalkulace a Porovnání'!Y293</f>
        <v>0</v>
      </c>
      <c r="Z293" s="138">
        <f>'Kalkulace a Porovnání'!Z293</f>
        <v>0</v>
      </c>
      <c r="AA293" s="138">
        <f>'Kalkulace a Porovnání'!AA293</f>
        <v>0</v>
      </c>
      <c r="AB293" s="138">
        <f>'Kalkulace a Porovnání'!AB293</f>
        <v>0</v>
      </c>
      <c r="AC293" s="146"/>
      <c r="AD293" s="428"/>
      <c r="AG293" s="428"/>
      <c r="AH293" s="428"/>
      <c r="AI293" s="428"/>
      <c r="AJ293" s="428"/>
      <c r="AK293" s="428"/>
      <c r="AL293" s="146"/>
    </row>
    <row r="294" spans="2:38" x14ac:dyDescent="0.25">
      <c r="B294" s="12" t="s">
        <v>79</v>
      </c>
      <c r="C294" s="21" t="s">
        <v>408</v>
      </c>
      <c r="D294" s="13" t="s">
        <v>10</v>
      </c>
      <c r="E294" s="858" t="s">
        <v>407</v>
      </c>
      <c r="F294" s="859"/>
      <c r="G294" s="341">
        <f>'Kalkulace a Porovnání'!G294</f>
        <v>0</v>
      </c>
      <c r="H294" s="341">
        <f>'Kalkulace a Porovnání'!H294</f>
        <v>0</v>
      </c>
      <c r="K294" s="12" t="s">
        <v>79</v>
      </c>
      <c r="L294" s="21" t="s">
        <v>408</v>
      </c>
      <c r="M294" s="13" t="s">
        <v>10</v>
      </c>
      <c r="N294" s="858" t="s">
        <v>407</v>
      </c>
      <c r="O294" s="859"/>
      <c r="P294" s="341">
        <f>'Kalkulace a Porovnání'!P294</f>
        <v>0</v>
      </c>
      <c r="Q294" s="341">
        <f>'Kalkulace a Porovnání'!Q294</f>
        <v>0</v>
      </c>
      <c r="T294" s="12" t="s">
        <v>79</v>
      </c>
      <c r="U294" s="21" t="s">
        <v>408</v>
      </c>
      <c r="V294" s="13" t="s">
        <v>10</v>
      </c>
      <c r="W294" s="858" t="s">
        <v>407</v>
      </c>
      <c r="X294" s="859"/>
      <c r="Y294" s="341">
        <f>'Kalkulace a Porovnání'!Y294</f>
        <v>0</v>
      </c>
      <c r="Z294" s="341">
        <f>'Kalkulace a Porovnání'!Z294</f>
        <v>0</v>
      </c>
      <c r="AA294" s="341">
        <f>'Kalkulace a Porovnání'!AA294</f>
        <v>0</v>
      </c>
      <c r="AB294" s="341">
        <f>'Kalkulace a Porovnání'!AB294</f>
        <v>0</v>
      </c>
      <c r="AC294" s="146"/>
      <c r="AD294" s="428"/>
      <c r="AG294" s="428"/>
      <c r="AH294" s="428"/>
      <c r="AI294" s="428"/>
      <c r="AJ294" s="428"/>
      <c r="AK294" s="428"/>
      <c r="AL294" s="146"/>
    </row>
    <row r="295" spans="2:38" x14ac:dyDescent="0.25">
      <c r="B295" s="12" t="s">
        <v>80</v>
      </c>
      <c r="C295" s="21" t="s">
        <v>354</v>
      </c>
      <c r="D295" s="13" t="s">
        <v>10</v>
      </c>
      <c r="E295" s="858" t="s">
        <v>409</v>
      </c>
      <c r="F295" s="870"/>
      <c r="G295" s="341">
        <f>'Kalkulace a Porovnání'!G295</f>
        <v>0</v>
      </c>
      <c r="H295" s="341">
        <f>'Kalkulace a Porovnání'!H295</f>
        <v>0</v>
      </c>
      <c r="K295" s="12" t="s">
        <v>80</v>
      </c>
      <c r="L295" s="21" t="s">
        <v>354</v>
      </c>
      <c r="M295" s="13" t="s">
        <v>10</v>
      </c>
      <c r="N295" s="858" t="s">
        <v>409</v>
      </c>
      <c r="O295" s="870"/>
      <c r="P295" s="341">
        <f>'Kalkulace a Porovnání'!P295</f>
        <v>0</v>
      </c>
      <c r="Q295" s="341">
        <f>'Kalkulace a Porovnání'!Q295</f>
        <v>0</v>
      </c>
      <c r="T295" s="12" t="s">
        <v>80</v>
      </c>
      <c r="U295" s="21" t="s">
        <v>354</v>
      </c>
      <c r="V295" s="13" t="s">
        <v>10</v>
      </c>
      <c r="W295" s="858" t="s">
        <v>409</v>
      </c>
      <c r="X295" s="870"/>
      <c r="Y295" s="341">
        <f>'Kalkulace a Porovnání'!Y295</f>
        <v>2.3999896640999999E-2</v>
      </c>
      <c r="Z295" s="341">
        <f>'Kalkulace a Porovnání'!Z295</f>
        <v>0</v>
      </c>
      <c r="AA295" s="341">
        <f>'Kalkulace a Porovnání'!AA295</f>
        <v>0.100000278</v>
      </c>
      <c r="AB295" s="341">
        <f>'Kalkulace a Porovnání'!AB295</f>
        <v>0</v>
      </c>
      <c r="AC295" s="146"/>
      <c r="AD295" s="428"/>
      <c r="AG295" s="428"/>
      <c r="AH295" s="428"/>
      <c r="AI295" s="428"/>
      <c r="AJ295" s="428"/>
      <c r="AK295" s="428"/>
      <c r="AL295" s="146"/>
    </row>
    <row r="296" spans="2:38" x14ac:dyDescent="0.25">
      <c r="B296" s="12" t="s">
        <v>82</v>
      </c>
      <c r="C296" s="13" t="s">
        <v>395</v>
      </c>
      <c r="D296" s="13" t="s">
        <v>10</v>
      </c>
      <c r="E296" s="858" t="s">
        <v>410</v>
      </c>
      <c r="F296" s="859"/>
      <c r="G296" s="341">
        <f>'Kalkulace a Porovnání'!G296</f>
        <v>0</v>
      </c>
      <c r="H296" s="341">
        <f>'Kalkulace a Porovnání'!H296</f>
        <v>0</v>
      </c>
      <c r="K296" s="12" t="s">
        <v>82</v>
      </c>
      <c r="L296" s="13" t="s">
        <v>395</v>
      </c>
      <c r="M296" s="13" t="s">
        <v>10</v>
      </c>
      <c r="N296" s="858" t="s">
        <v>410</v>
      </c>
      <c r="O296" s="859"/>
      <c r="P296" s="341">
        <f>'Kalkulace a Porovnání'!P296</f>
        <v>0</v>
      </c>
      <c r="Q296" s="341">
        <f>'Kalkulace a Porovnání'!Q296</f>
        <v>0</v>
      </c>
      <c r="T296" s="12" t="s">
        <v>82</v>
      </c>
      <c r="U296" s="13" t="s">
        <v>395</v>
      </c>
      <c r="V296" s="13" t="s">
        <v>10</v>
      </c>
      <c r="W296" s="858" t="s">
        <v>410</v>
      </c>
      <c r="X296" s="859"/>
      <c r="Y296" s="341">
        <f>'Kalkulace a Porovnání'!Y296</f>
        <v>2.3999896640999999E-2</v>
      </c>
      <c r="Z296" s="341">
        <f>'Kalkulace a Porovnání'!Z296</f>
        <v>0</v>
      </c>
      <c r="AA296" s="341">
        <f>'Kalkulace a Porovnání'!AA296</f>
        <v>0.100000278</v>
      </c>
      <c r="AB296" s="341">
        <f>'Kalkulace a Porovnání'!AB296</f>
        <v>0</v>
      </c>
      <c r="AC296" s="146"/>
      <c r="AD296" s="428"/>
      <c r="AG296" s="428"/>
      <c r="AH296" s="428"/>
      <c r="AI296" s="428"/>
      <c r="AJ296" s="428"/>
      <c r="AK296" s="428"/>
      <c r="AL296" s="146"/>
    </row>
    <row r="297" spans="2:38" x14ac:dyDescent="0.25">
      <c r="B297" s="12" t="s">
        <v>83</v>
      </c>
      <c r="C297" s="13" t="s">
        <v>81</v>
      </c>
      <c r="D297" s="13" t="s">
        <v>58</v>
      </c>
      <c r="E297" s="858" t="s">
        <v>411</v>
      </c>
      <c r="F297" s="859"/>
      <c r="G297" s="341">
        <f>'Kalkulace a Porovnání'!G297</f>
        <v>0</v>
      </c>
      <c r="H297" s="341">
        <f>'Kalkulace a Porovnání'!H297</f>
        <v>0</v>
      </c>
      <c r="K297" s="12" t="s">
        <v>83</v>
      </c>
      <c r="L297" s="13" t="s">
        <v>81</v>
      </c>
      <c r="M297" s="13" t="s">
        <v>58</v>
      </c>
      <c r="N297" s="858" t="s">
        <v>411</v>
      </c>
      <c r="O297" s="859"/>
      <c r="P297" s="341">
        <f>'Kalkulace a Porovnání'!P297</f>
        <v>0</v>
      </c>
      <c r="Q297" s="341">
        <f>'Kalkulace a Porovnání'!Q297</f>
        <v>0</v>
      </c>
      <c r="T297" s="12" t="s">
        <v>83</v>
      </c>
      <c r="U297" s="13" t="s">
        <v>81</v>
      </c>
      <c r="V297" s="13" t="s">
        <v>58</v>
      </c>
      <c r="W297" s="858" t="s">
        <v>411</v>
      </c>
      <c r="X297" s="859"/>
      <c r="Y297" s="341">
        <f>'Kalkulace a Porovnání'!Y297</f>
        <v>0</v>
      </c>
      <c r="Z297" s="341">
        <f>'Kalkulace a Porovnání'!Z297</f>
        <v>0</v>
      </c>
      <c r="AA297" s="341">
        <f>'Kalkulace a Porovnání'!AA297</f>
        <v>0</v>
      </c>
      <c r="AB297" s="341">
        <f>'Kalkulace a Porovnání'!AB297</f>
        <v>0</v>
      </c>
      <c r="AC297" s="146"/>
      <c r="AD297" s="428"/>
      <c r="AG297" s="428"/>
      <c r="AH297" s="428"/>
      <c r="AI297" s="428"/>
      <c r="AJ297" s="428"/>
      <c r="AK297" s="428"/>
      <c r="AL297" s="146"/>
    </row>
    <row r="298" spans="2:38" x14ac:dyDescent="0.25">
      <c r="B298" s="12" t="s">
        <v>155</v>
      </c>
      <c r="C298" s="13" t="s">
        <v>393</v>
      </c>
      <c r="D298" s="13" t="s">
        <v>73</v>
      </c>
      <c r="E298" s="854" t="s">
        <v>412</v>
      </c>
      <c r="F298" s="855"/>
      <c r="G298" s="138">
        <f>'Kalkulace a Porovnání'!G298</f>
        <v>0</v>
      </c>
      <c r="H298" s="138">
        <f>'Kalkulace a Porovnání'!H298</f>
        <v>0</v>
      </c>
      <c r="K298" s="12" t="s">
        <v>155</v>
      </c>
      <c r="L298" s="13" t="s">
        <v>393</v>
      </c>
      <c r="M298" s="13" t="s">
        <v>73</v>
      </c>
      <c r="N298" s="854" t="s">
        <v>412</v>
      </c>
      <c r="O298" s="855"/>
      <c r="P298" s="138">
        <f>'Kalkulace a Porovnání'!P298</f>
        <v>0</v>
      </c>
      <c r="Q298" s="138">
        <f>'Kalkulace a Porovnání'!Q298</f>
        <v>0</v>
      </c>
      <c r="T298" s="12" t="s">
        <v>155</v>
      </c>
      <c r="U298" s="13" t="s">
        <v>393</v>
      </c>
      <c r="V298" s="13" t="s">
        <v>73</v>
      </c>
      <c r="W298" s="854" t="s">
        <v>412</v>
      </c>
      <c r="X298" s="855"/>
      <c r="Y298" s="138">
        <f>'Kalkulace a Porovnání'!Y298</f>
        <v>0</v>
      </c>
      <c r="Z298" s="138">
        <f>'Kalkulace a Porovnání'!Z298</f>
        <v>0</v>
      </c>
      <c r="AA298" s="138">
        <f>'Kalkulace a Porovnání'!AA298</f>
        <v>0</v>
      </c>
      <c r="AB298" s="138">
        <f>'Kalkulace a Porovnání'!AB298</f>
        <v>0</v>
      </c>
      <c r="AC298" s="146"/>
      <c r="AD298" s="428"/>
      <c r="AG298" s="428"/>
      <c r="AH298" s="428"/>
      <c r="AI298" s="428"/>
      <c r="AJ298" s="428"/>
      <c r="AK298" s="428"/>
      <c r="AL298" s="146"/>
    </row>
    <row r="299" spans="2:38" x14ac:dyDescent="0.25">
      <c r="B299" s="12" t="s">
        <v>355</v>
      </c>
      <c r="C299" s="13" t="str">
        <f>CONCATENATE("UPLATŇOVANÁ CENA pro vodné, stočné + ",Provozování!E309*100,"% DPH")</f>
        <v>UPLATŇOVANÁ CENA pro vodné, stočné + 0% DPH</v>
      </c>
      <c r="D299" s="13" t="s">
        <v>73</v>
      </c>
      <c r="E299" s="854" t="s">
        <v>413</v>
      </c>
      <c r="F299" s="855"/>
      <c r="G299" s="138">
        <f>'Kalkulace a Porovnání'!G299</f>
        <v>0</v>
      </c>
      <c r="H299" s="138">
        <f>'Kalkulace a Porovnání'!H299</f>
        <v>0</v>
      </c>
      <c r="K299" s="12" t="s">
        <v>355</v>
      </c>
      <c r="L299" s="13" t="str">
        <f>C299</f>
        <v>UPLATŇOVANÁ CENA pro vodné, stočné + 0% DPH</v>
      </c>
      <c r="M299" s="13" t="s">
        <v>73</v>
      </c>
      <c r="N299" s="854" t="s">
        <v>413</v>
      </c>
      <c r="O299" s="855"/>
      <c r="P299" s="138">
        <f>'Kalkulace a Porovnání'!P299</f>
        <v>0</v>
      </c>
      <c r="Q299" s="138">
        <f>'Kalkulace a Porovnání'!Q299</f>
        <v>0</v>
      </c>
      <c r="T299" s="12" t="s">
        <v>355</v>
      </c>
      <c r="U299" s="13" t="str">
        <f>C299</f>
        <v>UPLATŇOVANÁ CENA pro vodné, stočné + 0% DPH</v>
      </c>
      <c r="V299" s="13" t="s">
        <v>73</v>
      </c>
      <c r="W299" s="854" t="s">
        <v>413</v>
      </c>
      <c r="X299" s="855"/>
      <c r="Y299" s="138">
        <f>'Kalkulace a Porovnání'!Y299</f>
        <v>0</v>
      </c>
      <c r="Z299" s="138">
        <f>'Kalkulace a Porovnání'!Z299</f>
        <v>0</v>
      </c>
      <c r="AA299" s="138">
        <f>'Kalkulace a Porovnání'!AA299</f>
        <v>0</v>
      </c>
      <c r="AB299" s="138">
        <f>'Kalkulace a Porovnání'!AB299</f>
        <v>0</v>
      </c>
      <c r="AC299" s="146"/>
      <c r="AD299" s="428"/>
      <c r="AG299" s="428"/>
      <c r="AH299" s="428"/>
      <c r="AI299" s="428"/>
      <c r="AJ299" s="428"/>
      <c r="AK299" s="428"/>
      <c r="AL299" s="146"/>
    </row>
    <row r="300" spans="2:38" x14ac:dyDescent="0.25">
      <c r="B300" s="210" t="s">
        <v>356</v>
      </c>
      <c r="C300" s="244" t="s">
        <v>357</v>
      </c>
      <c r="D300" s="244"/>
      <c r="E300" s="884" t="s">
        <v>414</v>
      </c>
      <c r="F300" s="869"/>
      <c r="G300" s="138">
        <f>'Kalkulace a Porovnání'!G300</f>
        <v>0</v>
      </c>
      <c r="H300" s="138">
        <f>'Kalkulace a Porovnání'!H300</f>
        <v>0</v>
      </c>
      <c r="K300" s="210" t="s">
        <v>356</v>
      </c>
      <c r="L300" s="244" t="s">
        <v>357</v>
      </c>
      <c r="M300" s="244"/>
      <c r="N300" s="884" t="s">
        <v>414</v>
      </c>
      <c r="O300" s="869"/>
      <c r="P300" s="138">
        <f>'Kalkulace a Porovnání'!P300</f>
        <v>0</v>
      </c>
      <c r="Q300" s="138">
        <f>'Kalkulace a Porovnání'!Q300</f>
        <v>0</v>
      </c>
      <c r="T300" s="12" t="s">
        <v>356</v>
      </c>
      <c r="U300" s="13" t="s">
        <v>357</v>
      </c>
      <c r="V300" s="13"/>
      <c r="W300" s="884" t="s">
        <v>414</v>
      </c>
      <c r="X300" s="869"/>
      <c r="Y300" s="530">
        <f>'Kalkulace a Porovnání'!Y300</f>
        <v>0</v>
      </c>
      <c r="Z300" s="530">
        <f>'Kalkulace a Porovnání'!Z300</f>
        <v>0</v>
      </c>
      <c r="AA300" s="530">
        <f>'Kalkulace a Porovnání'!AA300</f>
        <v>0</v>
      </c>
      <c r="AB300" s="530">
        <f>'Kalkulace a Porovnání'!AB300</f>
        <v>0</v>
      </c>
      <c r="AC300" s="146"/>
      <c r="AD300" s="428"/>
      <c r="AG300" s="428"/>
      <c r="AH300" s="428"/>
      <c r="AI300" s="428"/>
      <c r="AJ300" s="428"/>
      <c r="AK300" s="428"/>
      <c r="AL300" s="146"/>
    </row>
    <row r="301" spans="2:38" x14ac:dyDescent="0.25">
      <c r="B301" s="29"/>
      <c r="C301" s="29"/>
      <c r="D301" s="29"/>
      <c r="E301" s="29"/>
      <c r="F301" s="29"/>
      <c r="G301" s="29"/>
      <c r="H301" s="29"/>
      <c r="I301" s="29"/>
      <c r="J301" s="29"/>
      <c r="K301" s="29"/>
      <c r="L301" s="29"/>
      <c r="M301" s="29"/>
      <c r="N301" s="29"/>
      <c r="O301" s="29"/>
      <c r="P301" s="29"/>
      <c r="Q301" s="29"/>
      <c r="R301" s="29"/>
      <c r="T301" s="1121" t="s">
        <v>364</v>
      </c>
      <c r="U301" s="1121" t="s">
        <v>154</v>
      </c>
      <c r="V301" s="1122" t="s">
        <v>10</v>
      </c>
      <c r="W301" s="854" t="s">
        <v>156</v>
      </c>
      <c r="X301" s="858"/>
      <c r="Y301" s="89" t="s">
        <v>158</v>
      </c>
      <c r="Z301" s="92" t="s">
        <v>159</v>
      </c>
      <c r="AA301" s="89" t="s">
        <v>158</v>
      </c>
      <c r="AB301" s="92" t="s">
        <v>159</v>
      </c>
      <c r="AC301" s="146"/>
      <c r="AD301" s="428"/>
      <c r="AG301" s="428"/>
      <c r="AH301" s="428"/>
      <c r="AI301" s="428"/>
      <c r="AJ301" s="428"/>
      <c r="AK301" s="428"/>
      <c r="AL301" s="146"/>
    </row>
    <row r="302" spans="2:38" x14ac:dyDescent="0.25">
      <c r="B302" s="383"/>
      <c r="C302" s="382"/>
      <c r="D302" s="382"/>
      <c r="E302" s="382"/>
      <c r="F302" s="382"/>
      <c r="G302" s="29"/>
      <c r="H302" s="29"/>
      <c r="I302" s="29"/>
      <c r="J302" s="29"/>
      <c r="K302" s="29"/>
      <c r="L302" s="29"/>
      <c r="M302" s="29"/>
      <c r="N302" s="29"/>
      <c r="O302" s="29"/>
      <c r="P302" s="29"/>
      <c r="Q302" s="29"/>
      <c r="R302" s="29"/>
      <c r="T302" s="1121"/>
      <c r="U302" s="1121"/>
      <c r="V302" s="1122"/>
      <c r="W302" s="1123">
        <f>'Kalkulace a Porovnání'!W302</f>
        <v>0</v>
      </c>
      <c r="X302" s="1124"/>
      <c r="Y302" s="90">
        <f>'Kalkulace a Porovnání'!Y302</f>
        <v>2027</v>
      </c>
      <c r="Z302" s="90">
        <f>'Kalkulace a Porovnání'!Z302</f>
        <v>2027</v>
      </c>
      <c r="AA302" s="90">
        <f>'Kalkulace a Porovnání'!AA302</f>
        <v>2027</v>
      </c>
      <c r="AB302" s="90">
        <f>'Kalkulace a Porovnání'!AB302</f>
        <v>2027</v>
      </c>
      <c r="AC302" s="146"/>
      <c r="AD302" s="428"/>
      <c r="AG302" s="428"/>
      <c r="AH302" s="428"/>
      <c r="AI302" s="428"/>
      <c r="AJ302" s="428"/>
      <c r="AK302" s="428"/>
      <c r="AL302" s="146"/>
    </row>
    <row r="303" spans="2:38" x14ac:dyDescent="0.25">
      <c r="B303" s="383"/>
      <c r="C303" s="382"/>
      <c r="D303" s="382"/>
      <c r="E303" s="382"/>
      <c r="F303" s="382"/>
      <c r="G303" s="29"/>
      <c r="H303" s="29"/>
      <c r="I303" s="29"/>
      <c r="J303" s="29"/>
      <c r="K303" s="29"/>
      <c r="L303" s="29"/>
      <c r="M303" s="29"/>
      <c r="N303" s="29"/>
      <c r="O303" s="29"/>
      <c r="P303" s="29"/>
      <c r="Q303" s="29"/>
      <c r="R303" s="29"/>
      <c r="T303" s="1121"/>
      <c r="U303" s="1121"/>
      <c r="V303" s="1122"/>
      <c r="W303" s="854" t="s">
        <v>157</v>
      </c>
      <c r="X303" s="858"/>
      <c r="Y303" s="91" t="s">
        <v>160</v>
      </c>
      <c r="Z303" s="91" t="s">
        <v>160</v>
      </c>
      <c r="AA303" s="91" t="s">
        <v>161</v>
      </c>
      <c r="AB303" s="91" t="s">
        <v>161</v>
      </c>
      <c r="AC303" s="146"/>
      <c r="AD303" s="428"/>
      <c r="AG303" s="428"/>
      <c r="AH303" s="428"/>
      <c r="AI303" s="428"/>
      <c r="AJ303" s="428"/>
      <c r="AK303" s="428"/>
      <c r="AL303" s="146"/>
    </row>
    <row r="304" spans="2:38" x14ac:dyDescent="0.25">
      <c r="B304" s="382"/>
      <c r="C304" s="382"/>
      <c r="D304" s="382"/>
      <c r="E304" s="382"/>
      <c r="F304" s="382"/>
      <c r="G304" s="29"/>
      <c r="H304" s="29"/>
      <c r="I304" s="29"/>
      <c r="J304" s="29"/>
      <c r="K304" s="29"/>
      <c r="L304" s="29"/>
      <c r="M304" s="29"/>
      <c r="N304" s="29"/>
      <c r="O304" s="29"/>
      <c r="P304" s="29"/>
      <c r="Q304" s="29"/>
      <c r="R304" s="29"/>
      <c r="T304" s="1121"/>
      <c r="U304" s="1121"/>
      <c r="V304" s="1122"/>
      <c r="W304" s="1125">
        <f>'Kalkulace a Porovnání'!W304</f>
        <v>0</v>
      </c>
      <c r="X304" s="1125"/>
      <c r="Y304" s="341">
        <f>'Kalkulace a Porovnání'!Y304</f>
        <v>0</v>
      </c>
      <c r="Z304" s="341">
        <f>'Kalkulace a Porovnání'!Z304</f>
        <v>0</v>
      </c>
      <c r="AA304" s="341">
        <f>'Kalkulace a Porovnání'!AA304</f>
        <v>0</v>
      </c>
      <c r="AB304" s="341">
        <f>'Kalkulace a Porovnání'!AB304</f>
        <v>0</v>
      </c>
      <c r="AC304" s="146"/>
      <c r="AD304" s="428"/>
      <c r="AG304" s="428"/>
      <c r="AH304" s="428"/>
      <c r="AI304" s="428"/>
      <c r="AJ304" s="428"/>
      <c r="AK304" s="428"/>
      <c r="AL304" s="146"/>
    </row>
    <row r="305" spans="2:38" x14ac:dyDescent="0.25">
      <c r="B305" s="29"/>
      <c r="AC305" s="146"/>
      <c r="AD305" s="428"/>
      <c r="AG305" s="428"/>
      <c r="AH305" s="428"/>
      <c r="AI305" s="428"/>
      <c r="AJ305" s="428"/>
      <c r="AK305" s="428"/>
      <c r="AL305" s="146"/>
    </row>
    <row r="306" spans="2:38" x14ac:dyDescent="0.25">
      <c r="B306" s="899" t="s">
        <v>316</v>
      </c>
      <c r="C306" s="900"/>
      <c r="D306" s="900"/>
      <c r="E306" s="900"/>
      <c r="F306" s="900"/>
      <c r="G306" s="900"/>
      <c r="H306" s="900"/>
      <c r="K306" s="899" t="s">
        <v>317</v>
      </c>
      <c r="L306" s="900"/>
      <c r="M306" s="900"/>
      <c r="N306" s="900"/>
      <c r="O306" s="900"/>
      <c r="P306" s="900"/>
      <c r="Q306" s="900"/>
      <c r="T306" s="899" t="s">
        <v>162</v>
      </c>
      <c r="U306" s="900"/>
      <c r="V306" s="900"/>
      <c r="W306" s="900"/>
      <c r="X306" s="900"/>
      <c r="Y306" s="900"/>
      <c r="Z306" s="900"/>
      <c r="AA306" s="900"/>
      <c r="AB306" s="900"/>
      <c r="AC306" s="146"/>
      <c r="AD306" s="428"/>
      <c r="AG306" s="428"/>
      <c r="AH306" s="428"/>
      <c r="AI306" s="428"/>
      <c r="AJ306" s="428"/>
      <c r="AK306" s="428"/>
      <c r="AL306" s="146"/>
    </row>
    <row r="307" spans="2:38" x14ac:dyDescent="0.25">
      <c r="C307" s="272"/>
      <c r="E307" s="25"/>
      <c r="F307" s="25"/>
      <c r="L307" s="25"/>
      <c r="N307" s="25"/>
      <c r="T307" s="1079" t="s">
        <v>318</v>
      </c>
      <c r="U307" s="1079"/>
      <c r="V307" s="1079"/>
      <c r="W307" s="1079"/>
      <c r="X307" s="1079"/>
      <c r="Y307" s="1079"/>
      <c r="Z307" s="1079"/>
      <c r="AA307" s="1079"/>
      <c r="AB307" s="1079"/>
      <c r="AC307" s="146"/>
      <c r="AD307" s="428"/>
      <c r="AG307" s="428"/>
      <c r="AH307" s="428"/>
      <c r="AI307" s="428"/>
      <c r="AJ307" s="428"/>
      <c r="AK307" s="428"/>
      <c r="AL307" s="146"/>
    </row>
    <row r="308" spans="2:38" x14ac:dyDescent="0.25">
      <c r="C308" s="272" t="s">
        <v>103</v>
      </c>
      <c r="D308" s="274">
        <f>'Kalkulace a Porovnání'!D308</f>
        <v>2028</v>
      </c>
      <c r="E308" s="25"/>
      <c r="F308" s="272" t="s">
        <v>221</v>
      </c>
      <c r="G308" s="275" t="str">
        <f>'Kalkulace a Porovnání'!G308</f>
        <v>-</v>
      </c>
      <c r="H308" s="275" t="str">
        <f>'Kalkulace a Porovnání'!H308</f>
        <v xml:space="preserve"> </v>
      </c>
      <c r="L308" s="272" t="s">
        <v>103</v>
      </c>
      <c r="M308" s="274">
        <f>'Kalkulace a Porovnání'!M308</f>
        <v>2028</v>
      </c>
      <c r="O308" s="272" t="s">
        <v>221</v>
      </c>
      <c r="P308" s="275" t="str">
        <f>'Kalkulace a Porovnání'!P308</f>
        <v>-</v>
      </c>
      <c r="Q308" s="275" t="str">
        <f>'Kalkulace a Porovnání'!Q308</f>
        <v xml:space="preserve"> </v>
      </c>
      <c r="T308" s="333"/>
      <c r="U308" s="333"/>
      <c r="V308" s="342" t="s">
        <v>147</v>
      </c>
      <c r="W308" s="274">
        <f>'Kalkulace a Porovnání'!W308</f>
        <v>2028</v>
      </c>
      <c r="Z308" s="272" t="s">
        <v>221</v>
      </c>
      <c r="AA308" s="275" t="str">
        <f>'Kalkulace a Porovnání'!AA308</f>
        <v>-</v>
      </c>
      <c r="AB308" s="275" t="str">
        <f>'Kalkulace a Porovnání'!AB308</f>
        <v xml:space="preserve"> </v>
      </c>
      <c r="AC308" s="146"/>
      <c r="AD308" s="428"/>
      <c r="AG308" s="428"/>
      <c r="AH308" s="428"/>
      <c r="AI308" s="428"/>
      <c r="AJ308" s="428"/>
      <c r="AK308" s="428"/>
      <c r="AL308" s="146"/>
    </row>
    <row r="309" spans="2:38" x14ac:dyDescent="0.25">
      <c r="B309" s="13" t="s">
        <v>66</v>
      </c>
      <c r="C309" s="13" t="s">
        <v>89</v>
      </c>
      <c r="D309" s="1061" t="str">
        <f>'Kalkulace a Porovnání'!D309</f>
        <v>PRVOK s.r.o., IČ 281 28 257</v>
      </c>
      <c r="E309" s="1062"/>
      <c r="F309" s="1062"/>
      <c r="G309" s="1062"/>
      <c r="H309" s="1063"/>
      <c r="K309" s="13" t="s">
        <v>66</v>
      </c>
      <c r="L309" s="13" t="s">
        <v>89</v>
      </c>
      <c r="M309" s="1061" t="str">
        <f>'Kalkulace a Porovnání'!M309</f>
        <v>PRVOK s.r.o., IČ 281 28 257</v>
      </c>
      <c r="N309" s="1062"/>
      <c r="O309" s="1062"/>
      <c r="P309" s="1062"/>
      <c r="Q309" s="1063"/>
      <c r="T309" s="13" t="s">
        <v>66</v>
      </c>
      <c r="U309" s="13" t="s">
        <v>89</v>
      </c>
      <c r="V309" s="1080" t="str">
        <f>'Kalkulace a Porovnání'!V309</f>
        <v>PRVOK s.r.o., IČ 281 28 257</v>
      </c>
      <c r="W309" s="1081"/>
      <c r="X309" s="1081"/>
      <c r="Y309" s="1081"/>
      <c r="Z309" s="1081"/>
      <c r="AA309" s="1081"/>
      <c r="AB309" s="1081"/>
      <c r="AC309" s="146"/>
      <c r="AD309" s="428"/>
      <c r="AG309" s="252"/>
      <c r="AH309" s="252"/>
      <c r="AI309" s="252"/>
      <c r="AJ309" s="252"/>
      <c r="AK309" s="428"/>
      <c r="AL309" s="146"/>
    </row>
    <row r="310" spans="2:38" x14ac:dyDescent="0.25">
      <c r="B310" s="13" t="s">
        <v>84</v>
      </c>
      <c r="C310" s="13" t="s">
        <v>90</v>
      </c>
      <c r="D310" s="1061" t="str">
        <f>'Kalkulace a Porovnání'!D310</f>
        <v>PRVOK s.r.o., IČ 281 28 257</v>
      </c>
      <c r="E310" s="1062"/>
      <c r="F310" s="1062"/>
      <c r="G310" s="1062"/>
      <c r="H310" s="1063"/>
      <c r="K310" s="13" t="s">
        <v>84</v>
      </c>
      <c r="L310" s="13" t="s">
        <v>90</v>
      </c>
      <c r="M310" s="1061" t="str">
        <f>'Kalkulace a Porovnání'!M310</f>
        <v>PRVOK s.r.o., IČ 281 28 257</v>
      </c>
      <c r="N310" s="1062"/>
      <c r="O310" s="1062"/>
      <c r="P310" s="1062"/>
      <c r="Q310" s="1063"/>
      <c r="T310" s="13" t="s">
        <v>84</v>
      </c>
      <c r="U310" s="13" t="s">
        <v>90</v>
      </c>
      <c r="V310" s="1080" t="str">
        <f>'Kalkulace a Porovnání'!V310</f>
        <v>PRVOK s.r.o., IČ 281 28 257</v>
      </c>
      <c r="W310" s="1081"/>
      <c r="X310" s="1081"/>
      <c r="Y310" s="1081"/>
      <c r="Z310" s="1081"/>
      <c r="AA310" s="1081"/>
      <c r="AB310" s="1081"/>
      <c r="AC310" s="146"/>
      <c r="AD310" s="428"/>
      <c r="AG310" s="252"/>
      <c r="AH310" s="252"/>
      <c r="AI310" s="252"/>
      <c r="AJ310" s="252"/>
      <c r="AK310" s="428"/>
      <c r="AL310" s="146"/>
    </row>
    <row r="311" spans="2:38" x14ac:dyDescent="0.25">
      <c r="B311" s="13" t="s">
        <v>85</v>
      </c>
      <c r="C311" s="13" t="s">
        <v>91</v>
      </c>
      <c r="D311" s="1061" t="str">
        <f>'Kalkulace a Porovnání'!D311</f>
        <v>Obec Benešov nad Černou, IČ 00245780</v>
      </c>
      <c r="E311" s="1062"/>
      <c r="F311" s="1062"/>
      <c r="G311" s="1062"/>
      <c r="H311" s="1063"/>
      <c r="K311" s="13" t="s">
        <v>85</v>
      </c>
      <c r="L311" s="13" t="s">
        <v>91</v>
      </c>
      <c r="M311" s="1061" t="str">
        <f>'Kalkulace a Porovnání'!M311</f>
        <v>Obec Benešov nad Černou, IČ 00245780</v>
      </c>
      <c r="N311" s="1062"/>
      <c r="O311" s="1062"/>
      <c r="P311" s="1062"/>
      <c r="Q311" s="1063"/>
      <c r="T311" s="13" t="s">
        <v>85</v>
      </c>
      <c r="U311" s="13" t="s">
        <v>91</v>
      </c>
      <c r="V311" s="1080" t="str">
        <f>'Kalkulace a Porovnání'!V311</f>
        <v>Obec Benešov nad Černou, IČ 00245780</v>
      </c>
      <c r="W311" s="1081"/>
      <c r="X311" s="1081"/>
      <c r="Y311" s="1081"/>
      <c r="Z311" s="1081"/>
      <c r="AA311" s="1081"/>
      <c r="AB311" s="1081"/>
      <c r="AC311" s="146"/>
      <c r="AD311" s="428"/>
      <c r="AG311" s="252"/>
      <c r="AH311" s="252"/>
      <c r="AI311" s="252"/>
      <c r="AJ311" s="252"/>
      <c r="AK311" s="428"/>
      <c r="AL311" s="146"/>
    </row>
    <row r="312" spans="2:38" x14ac:dyDescent="0.25">
      <c r="B312" s="13" t="s">
        <v>86</v>
      </c>
      <c r="C312" s="13" t="s">
        <v>93</v>
      </c>
      <c r="D312" s="1061" t="str">
        <f>'Kalkulace a Porovnání'!D312</f>
        <v>A</v>
      </c>
      <c r="E312" s="1062"/>
      <c r="F312" s="1062"/>
      <c r="G312" s="1062"/>
      <c r="H312" s="1063"/>
      <c r="K312" s="13" t="s">
        <v>86</v>
      </c>
      <c r="L312" s="13" t="s">
        <v>93</v>
      </c>
      <c r="M312" s="1061" t="str">
        <f>'Kalkulace a Porovnání'!M312</f>
        <v>A</v>
      </c>
      <c r="N312" s="1062"/>
      <c r="O312" s="1062"/>
      <c r="P312" s="1062"/>
      <c r="Q312" s="1063"/>
      <c r="T312" s="13" t="s">
        <v>86</v>
      </c>
      <c r="U312" s="13" t="s">
        <v>93</v>
      </c>
      <c r="V312" s="1080" t="str">
        <f>'Kalkulace a Porovnání'!V312</f>
        <v>A</v>
      </c>
      <c r="W312" s="1081"/>
      <c r="X312" s="1081"/>
      <c r="Y312" s="1081"/>
      <c r="Z312" s="1081"/>
      <c r="AA312" s="1081"/>
      <c r="AB312" s="1081"/>
      <c r="AC312" s="146"/>
      <c r="AD312" s="428"/>
      <c r="AG312" s="252"/>
      <c r="AH312" s="252"/>
      <c r="AI312" s="252"/>
      <c r="AJ312" s="252"/>
      <c r="AK312" s="428"/>
      <c r="AL312" s="146"/>
    </row>
    <row r="313" spans="2:38" x14ac:dyDescent="0.25">
      <c r="B313" s="13" t="s">
        <v>87</v>
      </c>
      <c r="C313" s="13" t="s">
        <v>92</v>
      </c>
      <c r="D313" s="1061">
        <f>'Kalkulace a Porovnání'!D313</f>
        <v>1</v>
      </c>
      <c r="E313" s="1062"/>
      <c r="F313" s="1062"/>
      <c r="G313" s="1062"/>
      <c r="H313" s="1063"/>
      <c r="K313" s="13" t="s">
        <v>87</v>
      </c>
      <c r="L313" s="13" t="s">
        <v>92</v>
      </c>
      <c r="M313" s="1061">
        <f>'Kalkulace a Porovnání'!M313</f>
        <v>1</v>
      </c>
      <c r="N313" s="1062"/>
      <c r="O313" s="1062"/>
      <c r="P313" s="1062"/>
      <c r="Q313" s="1063"/>
      <c r="T313" s="13" t="s">
        <v>87</v>
      </c>
      <c r="U313" s="13" t="s">
        <v>92</v>
      </c>
      <c r="V313" s="1080">
        <f>'Kalkulace a Porovnání'!V313</f>
        <v>1</v>
      </c>
      <c r="W313" s="1081"/>
      <c r="X313" s="1081"/>
      <c r="Y313" s="1081"/>
      <c r="Z313" s="1081"/>
      <c r="AA313" s="1081"/>
      <c r="AB313" s="1081"/>
      <c r="AC313" s="146"/>
      <c r="AD313" s="428"/>
      <c r="AG313" s="252"/>
      <c r="AH313" s="252"/>
      <c r="AI313" s="252"/>
      <c r="AJ313" s="252"/>
      <c r="AK313" s="428"/>
      <c r="AL313" s="146"/>
    </row>
    <row r="314" spans="2:38" x14ac:dyDescent="0.25">
      <c r="B314" s="13" t="s">
        <v>88</v>
      </c>
      <c r="C314" s="13" t="s">
        <v>94</v>
      </c>
      <c r="D314" s="1061" t="str">
        <f>'Kalkulace a Porovnání'!D314</f>
        <v>[vyplnit]</v>
      </c>
      <c r="E314" s="1062"/>
      <c r="F314" s="1062"/>
      <c r="G314" s="1062"/>
      <c r="H314" s="1063"/>
      <c r="K314" s="13" t="s">
        <v>88</v>
      </c>
      <c r="L314" s="13" t="s">
        <v>94</v>
      </c>
      <c r="M314" s="1061" t="str">
        <f>'Kalkulace a Porovnání'!M314</f>
        <v xml:space="preserve"> </v>
      </c>
      <c r="N314" s="1062"/>
      <c r="O314" s="1062"/>
      <c r="P314" s="1062"/>
      <c r="Q314" s="1063"/>
      <c r="T314" s="13" t="s">
        <v>88</v>
      </c>
      <c r="U314" s="13" t="s">
        <v>94</v>
      </c>
      <c r="V314" s="1080" t="str">
        <f>'Kalkulace a Porovnání'!V314</f>
        <v xml:space="preserve"> </v>
      </c>
      <c r="W314" s="1081"/>
      <c r="X314" s="1081"/>
      <c r="Y314" s="1081"/>
      <c r="Z314" s="1081"/>
      <c r="AA314" s="1081"/>
      <c r="AB314" s="1081"/>
      <c r="AC314" s="146"/>
      <c r="AD314" s="428"/>
      <c r="AG314" s="252"/>
      <c r="AH314" s="252"/>
      <c r="AI314" s="252"/>
      <c r="AJ314" s="252"/>
      <c r="AK314" s="428"/>
      <c r="AL314" s="146"/>
    </row>
    <row r="315" spans="2:38" x14ac:dyDescent="0.25">
      <c r="AC315" s="146"/>
      <c r="AD315" s="428"/>
      <c r="AG315" s="252"/>
      <c r="AH315" s="252"/>
      <c r="AI315" s="252"/>
      <c r="AJ315" s="252"/>
      <c r="AK315" s="428"/>
      <c r="AL315" s="146"/>
    </row>
    <row r="316" spans="2:38" x14ac:dyDescent="0.25">
      <c r="B316" s="1052" t="s">
        <v>5</v>
      </c>
      <c r="C316" s="884" t="s">
        <v>0</v>
      </c>
      <c r="D316" s="868"/>
      <c r="E316" s="868"/>
      <c r="F316" s="868"/>
      <c r="G316" s="868"/>
      <c r="H316" s="869"/>
      <c r="K316" s="1052" t="s">
        <v>5</v>
      </c>
      <c r="L316" s="884" t="s">
        <v>0</v>
      </c>
      <c r="M316" s="868"/>
      <c r="N316" s="868"/>
      <c r="O316" s="868"/>
      <c r="P316" s="868"/>
      <c r="Q316" s="869"/>
      <c r="T316" s="1052" t="s">
        <v>5</v>
      </c>
      <c r="U316" s="884" t="s">
        <v>0</v>
      </c>
      <c r="V316" s="868"/>
      <c r="W316" s="868"/>
      <c r="X316" s="868"/>
      <c r="Y316" s="868"/>
      <c r="Z316" s="868"/>
      <c r="AA316" s="868"/>
      <c r="AB316" s="869"/>
      <c r="AC316" s="146"/>
      <c r="AD316" s="428"/>
      <c r="AG316" s="252"/>
      <c r="AH316" s="252"/>
      <c r="AI316" s="252"/>
      <c r="AJ316" s="252"/>
      <c r="AK316" s="428"/>
      <c r="AL316" s="146"/>
    </row>
    <row r="317" spans="2:38" x14ac:dyDescent="0.25">
      <c r="B317" s="1053"/>
      <c r="C317" s="1052" t="s">
        <v>1</v>
      </c>
      <c r="D317" s="1065" t="s">
        <v>133</v>
      </c>
      <c r="E317" s="884" t="s">
        <v>3</v>
      </c>
      <c r="F317" s="868"/>
      <c r="G317" s="884" t="s">
        <v>4</v>
      </c>
      <c r="H317" s="869"/>
      <c r="K317" s="1053"/>
      <c r="L317" s="1052" t="s">
        <v>1</v>
      </c>
      <c r="M317" s="1065" t="s">
        <v>133</v>
      </c>
      <c r="N317" s="884" t="s">
        <v>3</v>
      </c>
      <c r="O317" s="868"/>
      <c r="P317" s="884" t="s">
        <v>4</v>
      </c>
      <c r="Q317" s="869"/>
      <c r="T317" s="1053"/>
      <c r="U317" s="1052" t="s">
        <v>1</v>
      </c>
      <c r="V317" s="1065" t="s">
        <v>133</v>
      </c>
      <c r="W317" s="884" t="s">
        <v>3</v>
      </c>
      <c r="X317" s="868"/>
      <c r="Y317" s="868"/>
      <c r="Z317" s="884" t="s">
        <v>4</v>
      </c>
      <c r="AA317" s="868"/>
      <c r="AB317" s="869"/>
      <c r="AC317" s="146"/>
      <c r="AD317" s="428"/>
      <c r="AG317" s="252"/>
      <c r="AH317" s="252"/>
      <c r="AI317" s="252"/>
      <c r="AJ317" s="252"/>
      <c r="AK317" s="428"/>
      <c r="AL317" s="146"/>
    </row>
    <row r="318" spans="2:38" x14ac:dyDescent="0.25">
      <c r="B318" s="1053"/>
      <c r="C318" s="1053"/>
      <c r="D318" s="1053"/>
      <c r="E318" s="28">
        <f>'Kalkulace a Porovnání'!E318</f>
        <v>2027</v>
      </c>
      <c r="F318" s="28">
        <f>'Kalkulace a Porovnání'!F318</f>
        <v>2028</v>
      </c>
      <c r="G318" s="28">
        <f>'Kalkulace a Porovnání'!G318</f>
        <v>2027</v>
      </c>
      <c r="H318" s="28">
        <f>'Kalkulace a Porovnání'!H318</f>
        <v>2028</v>
      </c>
      <c r="K318" s="1053"/>
      <c r="L318" s="1053"/>
      <c r="M318" s="1053"/>
      <c r="N318" s="28">
        <f>'Kalkulace a Porovnání'!N318</f>
        <v>2027</v>
      </c>
      <c r="O318" s="28">
        <f>'Kalkulace a Porovnání'!O318</f>
        <v>2028</v>
      </c>
      <c r="P318" s="28">
        <f>'Kalkulace a Porovnání'!P318</f>
        <v>2027</v>
      </c>
      <c r="Q318" s="28">
        <f>'Kalkulace a Porovnání'!Q318</f>
        <v>2028</v>
      </c>
      <c r="T318" s="1053"/>
      <c r="U318" s="1053"/>
      <c r="V318" s="1053"/>
      <c r="W318" s="28">
        <f>'Kalkulace a Porovnání'!W318</f>
        <v>2028</v>
      </c>
      <c r="X318" s="28">
        <f>'Kalkulace a Porovnání'!X318</f>
        <v>2028</v>
      </c>
      <c r="Y318" s="28">
        <f>'Kalkulace a Porovnání'!Y318</f>
        <v>2028</v>
      </c>
      <c r="Z318" s="28">
        <f>'Kalkulace a Porovnání'!Z318</f>
        <v>2028</v>
      </c>
      <c r="AA318" s="28">
        <f>'Kalkulace a Porovnání'!AA318</f>
        <v>2028</v>
      </c>
      <c r="AB318" s="28">
        <f>'Kalkulace a Porovnání'!AB318</f>
        <v>2028</v>
      </c>
      <c r="AC318" s="146"/>
      <c r="AD318" s="428"/>
      <c r="AG318" s="252"/>
      <c r="AH318" s="252"/>
      <c r="AI318" s="252"/>
      <c r="AJ318" s="252"/>
      <c r="AK318" s="428"/>
      <c r="AL318" s="146"/>
    </row>
    <row r="319" spans="2:38" x14ac:dyDescent="0.25">
      <c r="B319" s="1054"/>
      <c r="C319" s="1054"/>
      <c r="D319" s="1054"/>
      <c r="E319" s="7" t="s">
        <v>151</v>
      </c>
      <c r="F319" s="7" t="s">
        <v>98</v>
      </c>
      <c r="G319" s="7" t="s">
        <v>151</v>
      </c>
      <c r="H319" s="19" t="s">
        <v>98</v>
      </c>
      <c r="K319" s="1054"/>
      <c r="L319" s="1054"/>
      <c r="M319" s="1054"/>
      <c r="N319" s="7" t="s">
        <v>151</v>
      </c>
      <c r="O319" s="7" t="s">
        <v>98</v>
      </c>
      <c r="P319" s="7" t="s">
        <v>151</v>
      </c>
      <c r="Q319" s="19" t="s">
        <v>98</v>
      </c>
      <c r="T319" s="1054"/>
      <c r="U319" s="1054"/>
      <c r="V319" s="1054"/>
      <c r="W319" s="7" t="s">
        <v>150</v>
      </c>
      <c r="X319" s="7" t="s">
        <v>98</v>
      </c>
      <c r="Y319" s="7" t="s">
        <v>149</v>
      </c>
      <c r="Z319" s="7" t="s">
        <v>150</v>
      </c>
      <c r="AA319" s="7" t="s">
        <v>98</v>
      </c>
      <c r="AB319" s="19" t="s">
        <v>149</v>
      </c>
      <c r="AC319" s="146"/>
      <c r="AD319" s="428"/>
      <c r="AG319" s="252"/>
      <c r="AH319" s="252"/>
      <c r="AI319" s="252"/>
      <c r="AJ319" s="252"/>
      <c r="AK319" s="428"/>
      <c r="AL319" s="146"/>
    </row>
    <row r="320" spans="2:38" x14ac:dyDescent="0.25">
      <c r="B320" s="11">
        <v>1</v>
      </c>
      <c r="C320" s="11">
        <v>2</v>
      </c>
      <c r="D320" s="11" t="s">
        <v>95</v>
      </c>
      <c r="E320" s="11">
        <v>3</v>
      </c>
      <c r="F320" s="11">
        <v>4</v>
      </c>
      <c r="G320" s="11">
        <v>6</v>
      </c>
      <c r="H320" s="22">
        <v>7</v>
      </c>
      <c r="K320" s="11">
        <v>1</v>
      </c>
      <c r="L320" s="11">
        <v>2</v>
      </c>
      <c r="M320" s="11" t="s">
        <v>95</v>
      </c>
      <c r="N320" s="11">
        <v>3</v>
      </c>
      <c r="O320" s="11">
        <v>4</v>
      </c>
      <c r="P320" s="11">
        <v>6</v>
      </c>
      <c r="Q320" s="22">
        <v>7</v>
      </c>
      <c r="T320" s="11">
        <v>1</v>
      </c>
      <c r="U320" s="11">
        <v>2</v>
      </c>
      <c r="V320" s="11" t="s">
        <v>95</v>
      </c>
      <c r="W320" s="11">
        <v>3</v>
      </c>
      <c r="X320" s="11">
        <v>4</v>
      </c>
      <c r="Y320" s="11">
        <v>5</v>
      </c>
      <c r="Z320" s="11">
        <v>6</v>
      </c>
      <c r="AA320" s="11">
        <v>7</v>
      </c>
      <c r="AB320" s="22">
        <v>8</v>
      </c>
      <c r="AC320" s="146"/>
      <c r="AD320" s="428"/>
      <c r="AG320" s="252"/>
      <c r="AH320" s="252"/>
      <c r="AI320" s="252"/>
      <c r="AJ320" s="252"/>
      <c r="AK320" s="428"/>
      <c r="AL320" s="146"/>
    </row>
    <row r="321" spans="2:38" x14ac:dyDescent="0.25">
      <c r="B321" s="9" t="s">
        <v>8</v>
      </c>
      <c r="C321" s="10" t="s">
        <v>9</v>
      </c>
      <c r="D321" s="11" t="s">
        <v>10</v>
      </c>
      <c r="E321" s="41">
        <f>'Kalkulace a Porovnání'!E321</f>
        <v>0</v>
      </c>
      <c r="F321" s="41">
        <f>'Kalkulace a Porovnání'!F321</f>
        <v>0</v>
      </c>
      <c r="G321" s="41">
        <f>'Kalkulace a Porovnání'!G321</f>
        <v>0</v>
      </c>
      <c r="H321" s="86">
        <f>'Kalkulace a Porovnání'!H321</f>
        <v>0</v>
      </c>
      <c r="K321" s="9" t="s">
        <v>8</v>
      </c>
      <c r="L321" s="10" t="s">
        <v>9</v>
      </c>
      <c r="M321" s="11" t="s">
        <v>10</v>
      </c>
      <c r="N321" s="41">
        <f>'Kalkulace a Porovnání'!N321</f>
        <v>0</v>
      </c>
      <c r="O321" s="41">
        <f>'Kalkulace a Porovnání'!O321</f>
        <v>0</v>
      </c>
      <c r="P321" s="41">
        <f>'Kalkulace a Porovnání'!P321</f>
        <v>0</v>
      </c>
      <c r="Q321" s="86">
        <f>'Kalkulace a Porovnání'!Q321</f>
        <v>0</v>
      </c>
      <c r="T321" s="9" t="s">
        <v>8</v>
      </c>
      <c r="U321" s="10" t="s">
        <v>9</v>
      </c>
      <c r="V321" s="11" t="s">
        <v>10</v>
      </c>
      <c r="W321" s="41">
        <f>'Kalkulace a Porovnání'!W321</f>
        <v>0</v>
      </c>
      <c r="X321" s="41">
        <f>'Kalkulace a Porovnání'!X321</f>
        <v>0</v>
      </c>
      <c r="Y321" s="41">
        <f>'Kalkulace a Porovnání'!Y321</f>
        <v>0</v>
      </c>
      <c r="Z321" s="41">
        <f>'Kalkulace a Porovnání'!Z321</f>
        <v>0</v>
      </c>
      <c r="AA321" s="41">
        <f>'Kalkulace a Porovnání'!AA321</f>
        <v>0</v>
      </c>
      <c r="AB321" s="86">
        <f>'Kalkulace a Porovnání'!AB321</f>
        <v>0</v>
      </c>
      <c r="AC321" s="146"/>
      <c r="AD321" s="428"/>
      <c r="AG321" s="252"/>
      <c r="AH321" s="252"/>
      <c r="AI321" s="252"/>
      <c r="AJ321" s="252"/>
      <c r="AK321" s="428"/>
      <c r="AL321" s="146"/>
    </row>
    <row r="322" spans="2:38" x14ac:dyDescent="0.25">
      <c r="B322" s="12" t="s">
        <v>11</v>
      </c>
      <c r="C322" s="13" t="s">
        <v>12</v>
      </c>
      <c r="D322" s="3" t="s">
        <v>10</v>
      </c>
      <c r="E322" s="44">
        <f>'Kalkulace a Porovnání'!E322</f>
        <v>0</v>
      </c>
      <c r="F322" s="44">
        <f>'Kalkulace a Porovnání'!F322</f>
        <v>0</v>
      </c>
      <c r="G322" s="44">
        <f>'Kalkulace a Porovnání'!G322</f>
        <v>0</v>
      </c>
      <c r="H322" s="30">
        <f>'Kalkulace a Porovnání'!H322</f>
        <v>0</v>
      </c>
      <c r="K322" s="12" t="s">
        <v>11</v>
      </c>
      <c r="L322" s="13" t="s">
        <v>12</v>
      </c>
      <c r="M322" s="3" t="s">
        <v>10</v>
      </c>
      <c r="N322" s="44">
        <f>'Kalkulace a Porovnání'!N322</f>
        <v>0</v>
      </c>
      <c r="O322" s="44">
        <f>'Kalkulace a Porovnání'!O322</f>
        <v>0</v>
      </c>
      <c r="P322" s="44">
        <f>'Kalkulace a Porovnání'!P322</f>
        <v>0</v>
      </c>
      <c r="Q322" s="30">
        <f>'Kalkulace a Porovnání'!Q322</f>
        <v>0</v>
      </c>
      <c r="T322" s="12" t="s">
        <v>11</v>
      </c>
      <c r="U322" s="13" t="s">
        <v>12</v>
      </c>
      <c r="V322" s="3" t="s">
        <v>10</v>
      </c>
      <c r="W322" s="44">
        <f>'Kalkulace a Porovnání'!W322</f>
        <v>0</v>
      </c>
      <c r="X322" s="44">
        <f>'Kalkulace a Porovnání'!X322</f>
        <v>0</v>
      </c>
      <c r="Y322" s="44">
        <f>'Kalkulace a Porovnání'!Y322</f>
        <v>0</v>
      </c>
      <c r="Z322" s="44">
        <f>'Kalkulace a Porovnání'!Z322</f>
        <v>0</v>
      </c>
      <c r="AA322" s="44">
        <f>'Kalkulace a Porovnání'!AA322</f>
        <v>0</v>
      </c>
      <c r="AB322" s="30">
        <f>'Kalkulace a Porovnání'!AB322</f>
        <v>0</v>
      </c>
      <c r="AC322" s="146"/>
      <c r="AD322" s="428"/>
      <c r="AG322" s="252"/>
      <c r="AH322" s="252"/>
      <c r="AI322" s="252"/>
      <c r="AJ322" s="252"/>
      <c r="AK322" s="428"/>
      <c r="AL322" s="146"/>
    </row>
    <row r="323" spans="2:38" x14ac:dyDescent="0.25">
      <c r="B323" s="12" t="s">
        <v>13</v>
      </c>
      <c r="C323" s="12" t="s">
        <v>14</v>
      </c>
      <c r="D323" s="3" t="s">
        <v>10</v>
      </c>
      <c r="E323" s="44">
        <f>'Kalkulace a Porovnání'!E323</f>
        <v>0</v>
      </c>
      <c r="F323" s="44">
        <f>'Kalkulace a Porovnání'!F323</f>
        <v>0</v>
      </c>
      <c r="G323" s="44">
        <f>'Kalkulace a Porovnání'!G323</f>
        <v>0</v>
      </c>
      <c r="H323" s="30">
        <f>'Kalkulace a Porovnání'!H323</f>
        <v>0</v>
      </c>
      <c r="K323" s="12" t="s">
        <v>13</v>
      </c>
      <c r="L323" s="12" t="s">
        <v>14</v>
      </c>
      <c r="M323" s="3" t="s">
        <v>10</v>
      </c>
      <c r="N323" s="44">
        <f>'Kalkulace a Porovnání'!N323</f>
        <v>0</v>
      </c>
      <c r="O323" s="44">
        <f>'Kalkulace a Porovnání'!O323</f>
        <v>0</v>
      </c>
      <c r="P323" s="44">
        <f>'Kalkulace a Porovnání'!P323</f>
        <v>0</v>
      </c>
      <c r="Q323" s="30">
        <f>'Kalkulace a Porovnání'!Q323</f>
        <v>0</v>
      </c>
      <c r="T323" s="12" t="s">
        <v>13</v>
      </c>
      <c r="U323" s="12" t="s">
        <v>14</v>
      </c>
      <c r="V323" s="3" t="s">
        <v>10</v>
      </c>
      <c r="W323" s="44">
        <f>'Kalkulace a Porovnání'!W323</f>
        <v>0</v>
      </c>
      <c r="X323" s="44">
        <f>'Kalkulace a Porovnání'!X323</f>
        <v>0</v>
      </c>
      <c r="Y323" s="44">
        <f>'Kalkulace a Porovnání'!Y323</f>
        <v>0</v>
      </c>
      <c r="Z323" s="44">
        <f>'Kalkulace a Porovnání'!Z323</f>
        <v>0</v>
      </c>
      <c r="AA323" s="44">
        <f>'Kalkulace a Porovnání'!AA323</f>
        <v>0</v>
      </c>
      <c r="AB323" s="30">
        <f>'Kalkulace a Porovnání'!AB323</f>
        <v>0</v>
      </c>
      <c r="AC323" s="146"/>
      <c r="AD323" s="428"/>
      <c r="AG323" s="252"/>
      <c r="AH323" s="252"/>
      <c r="AI323" s="252"/>
      <c r="AJ323" s="252"/>
      <c r="AK323" s="428"/>
      <c r="AL323" s="146"/>
    </row>
    <row r="324" spans="2:38" x14ac:dyDescent="0.25">
      <c r="B324" s="12" t="s">
        <v>15</v>
      </c>
      <c r="C324" s="13" t="s">
        <v>16</v>
      </c>
      <c r="D324" s="3" t="s">
        <v>10</v>
      </c>
      <c r="E324" s="44">
        <f>'Kalkulace a Porovnání'!E324</f>
        <v>0</v>
      </c>
      <c r="F324" s="44">
        <f>'Kalkulace a Porovnání'!F324</f>
        <v>0</v>
      </c>
      <c r="G324" s="44">
        <f>'Kalkulace a Porovnání'!G324</f>
        <v>0</v>
      </c>
      <c r="H324" s="30">
        <f>'Kalkulace a Porovnání'!H324</f>
        <v>0</v>
      </c>
      <c r="K324" s="12" t="s">
        <v>15</v>
      </c>
      <c r="L324" s="13" t="s">
        <v>16</v>
      </c>
      <c r="M324" s="3" t="s">
        <v>10</v>
      </c>
      <c r="N324" s="44">
        <f>'Kalkulace a Porovnání'!N324</f>
        <v>0</v>
      </c>
      <c r="O324" s="44">
        <f>'Kalkulace a Porovnání'!O324</f>
        <v>0</v>
      </c>
      <c r="P324" s="44">
        <f>'Kalkulace a Porovnání'!P324</f>
        <v>0</v>
      </c>
      <c r="Q324" s="30">
        <f>'Kalkulace a Porovnání'!Q324</f>
        <v>0</v>
      </c>
      <c r="T324" s="12" t="s">
        <v>15</v>
      </c>
      <c r="U324" s="13" t="s">
        <v>16</v>
      </c>
      <c r="V324" s="3" t="s">
        <v>10</v>
      </c>
      <c r="W324" s="44">
        <f>'Kalkulace a Porovnání'!W324</f>
        <v>0</v>
      </c>
      <c r="X324" s="44">
        <f>'Kalkulace a Porovnání'!X324</f>
        <v>0</v>
      </c>
      <c r="Y324" s="44">
        <f>'Kalkulace a Porovnání'!Y324</f>
        <v>0</v>
      </c>
      <c r="Z324" s="44">
        <f>'Kalkulace a Porovnání'!Z324</f>
        <v>0</v>
      </c>
      <c r="AA324" s="44">
        <f>'Kalkulace a Porovnání'!AA324</f>
        <v>0</v>
      </c>
      <c r="AB324" s="30">
        <f>'Kalkulace a Porovnání'!AB324</f>
        <v>0</v>
      </c>
      <c r="AC324" s="146"/>
      <c r="AD324" s="428"/>
      <c r="AG324" s="252"/>
      <c r="AH324" s="252"/>
      <c r="AI324" s="252"/>
      <c r="AJ324" s="252"/>
      <c r="AK324" s="428"/>
      <c r="AL324" s="146"/>
    </row>
    <row r="325" spans="2:38" x14ac:dyDescent="0.25">
      <c r="B325" s="12" t="s">
        <v>17</v>
      </c>
      <c r="C325" s="13" t="s">
        <v>18</v>
      </c>
      <c r="D325" s="3" t="s">
        <v>10</v>
      </c>
      <c r="E325" s="44">
        <f>'Kalkulace a Porovnání'!E325</f>
        <v>0</v>
      </c>
      <c r="F325" s="44">
        <f>'Kalkulace a Porovnání'!F325</f>
        <v>0</v>
      </c>
      <c r="G325" s="44">
        <f>'Kalkulace a Porovnání'!G325</f>
        <v>0</v>
      </c>
      <c r="H325" s="30">
        <f>'Kalkulace a Porovnání'!H325</f>
        <v>0</v>
      </c>
      <c r="K325" s="12" t="s">
        <v>17</v>
      </c>
      <c r="L325" s="13" t="s">
        <v>18</v>
      </c>
      <c r="M325" s="3" t="s">
        <v>10</v>
      </c>
      <c r="N325" s="44">
        <f>'Kalkulace a Porovnání'!N325</f>
        <v>0</v>
      </c>
      <c r="O325" s="44">
        <f>'Kalkulace a Porovnání'!O325</f>
        <v>0</v>
      </c>
      <c r="P325" s="44">
        <f>'Kalkulace a Porovnání'!P325</f>
        <v>0</v>
      </c>
      <c r="Q325" s="30">
        <f>'Kalkulace a Porovnání'!Q325</f>
        <v>0</v>
      </c>
      <c r="T325" s="12" t="s">
        <v>17</v>
      </c>
      <c r="U325" s="13" t="s">
        <v>18</v>
      </c>
      <c r="V325" s="3" t="s">
        <v>10</v>
      </c>
      <c r="W325" s="44">
        <f>'Kalkulace a Porovnání'!W325</f>
        <v>0</v>
      </c>
      <c r="X325" s="44">
        <f>'Kalkulace a Porovnání'!X325</f>
        <v>0</v>
      </c>
      <c r="Y325" s="44">
        <f>'Kalkulace a Porovnání'!Y325</f>
        <v>0</v>
      </c>
      <c r="Z325" s="44">
        <f>'Kalkulace a Porovnání'!Z325</f>
        <v>0</v>
      </c>
      <c r="AA325" s="44">
        <f>'Kalkulace a Porovnání'!AA325</f>
        <v>0</v>
      </c>
      <c r="AB325" s="30">
        <f>'Kalkulace a Porovnání'!AB325</f>
        <v>0</v>
      </c>
      <c r="AC325" s="146"/>
      <c r="AD325" s="428"/>
      <c r="AG325" s="252"/>
      <c r="AH325" s="252"/>
      <c r="AI325" s="252"/>
      <c r="AJ325" s="252"/>
      <c r="AK325" s="428"/>
      <c r="AL325" s="146"/>
    </row>
    <row r="326" spans="2:38" x14ac:dyDescent="0.25">
      <c r="B326" s="9" t="s">
        <v>19</v>
      </c>
      <c r="C326" s="10" t="s">
        <v>20</v>
      </c>
      <c r="D326" s="11" t="s">
        <v>10</v>
      </c>
      <c r="E326" s="41">
        <f>'Kalkulace a Porovnání'!E326</f>
        <v>0</v>
      </c>
      <c r="F326" s="41">
        <f>'Kalkulace a Porovnání'!F326</f>
        <v>0</v>
      </c>
      <c r="G326" s="41">
        <f>'Kalkulace a Porovnání'!G326</f>
        <v>0</v>
      </c>
      <c r="H326" s="86">
        <f>'Kalkulace a Porovnání'!H326</f>
        <v>0</v>
      </c>
      <c r="K326" s="9" t="s">
        <v>19</v>
      </c>
      <c r="L326" s="10" t="s">
        <v>20</v>
      </c>
      <c r="M326" s="11" t="s">
        <v>10</v>
      </c>
      <c r="N326" s="41">
        <f>'Kalkulace a Porovnání'!N326</f>
        <v>0</v>
      </c>
      <c r="O326" s="41">
        <f>'Kalkulace a Porovnání'!O326</f>
        <v>0</v>
      </c>
      <c r="P326" s="41">
        <f>'Kalkulace a Porovnání'!P326</f>
        <v>0</v>
      </c>
      <c r="Q326" s="86">
        <f>'Kalkulace a Porovnání'!Q326</f>
        <v>0</v>
      </c>
      <c r="T326" s="9" t="s">
        <v>19</v>
      </c>
      <c r="U326" s="10" t="s">
        <v>20</v>
      </c>
      <c r="V326" s="11" t="s">
        <v>10</v>
      </c>
      <c r="W326" s="41">
        <f>'Kalkulace a Porovnání'!W326</f>
        <v>0</v>
      </c>
      <c r="X326" s="41">
        <f>'Kalkulace a Porovnání'!X326</f>
        <v>0</v>
      </c>
      <c r="Y326" s="41">
        <f>'Kalkulace a Porovnání'!Y326</f>
        <v>0</v>
      </c>
      <c r="Z326" s="41">
        <f>'Kalkulace a Porovnání'!Z326</f>
        <v>0</v>
      </c>
      <c r="AA326" s="41">
        <f>'Kalkulace a Porovnání'!AA326</f>
        <v>0</v>
      </c>
      <c r="AB326" s="86">
        <f>'Kalkulace a Porovnání'!AB326</f>
        <v>0</v>
      </c>
      <c r="AC326" s="146"/>
      <c r="AD326" s="428"/>
      <c r="AG326" s="252"/>
      <c r="AH326" s="252"/>
      <c r="AI326" s="252"/>
      <c r="AJ326" s="252"/>
      <c r="AK326" s="428"/>
      <c r="AL326" s="146"/>
    </row>
    <row r="327" spans="2:38" x14ac:dyDescent="0.25">
      <c r="B327" s="12" t="s">
        <v>21</v>
      </c>
      <c r="C327" s="12" t="s">
        <v>22</v>
      </c>
      <c r="D327" s="3" t="s">
        <v>10</v>
      </c>
      <c r="E327" s="44">
        <f>'Kalkulace a Porovnání'!E327</f>
        <v>0</v>
      </c>
      <c r="F327" s="44">
        <f>'Kalkulace a Porovnání'!F327</f>
        <v>0</v>
      </c>
      <c r="G327" s="44">
        <f>'Kalkulace a Porovnání'!G327</f>
        <v>0</v>
      </c>
      <c r="H327" s="30">
        <f>'Kalkulace a Porovnání'!H327</f>
        <v>0</v>
      </c>
      <c r="K327" s="12" t="s">
        <v>21</v>
      </c>
      <c r="L327" s="12" t="s">
        <v>22</v>
      </c>
      <c r="M327" s="3" t="s">
        <v>10</v>
      </c>
      <c r="N327" s="44">
        <f>'Kalkulace a Porovnání'!N327</f>
        <v>0</v>
      </c>
      <c r="O327" s="44">
        <f>'Kalkulace a Porovnání'!O327</f>
        <v>0</v>
      </c>
      <c r="P327" s="44">
        <f>'Kalkulace a Porovnání'!P327</f>
        <v>0</v>
      </c>
      <c r="Q327" s="30">
        <f>'Kalkulace a Porovnání'!Q327</f>
        <v>0</v>
      </c>
      <c r="T327" s="12" t="s">
        <v>21</v>
      </c>
      <c r="U327" s="12" t="s">
        <v>22</v>
      </c>
      <c r="V327" s="3" t="s">
        <v>10</v>
      </c>
      <c r="W327" s="44">
        <f>'Kalkulace a Porovnání'!W327</f>
        <v>0</v>
      </c>
      <c r="X327" s="44">
        <f>'Kalkulace a Porovnání'!X327</f>
        <v>0</v>
      </c>
      <c r="Y327" s="44">
        <f>'Kalkulace a Porovnání'!Y327</f>
        <v>0</v>
      </c>
      <c r="Z327" s="44">
        <f>'Kalkulace a Porovnání'!Z327</f>
        <v>0</v>
      </c>
      <c r="AA327" s="44">
        <f>'Kalkulace a Porovnání'!AA327</f>
        <v>0</v>
      </c>
      <c r="AB327" s="30">
        <f>'Kalkulace a Porovnání'!AB327</f>
        <v>0</v>
      </c>
      <c r="AC327" s="146"/>
      <c r="AD327" s="428"/>
      <c r="AG327" s="252"/>
      <c r="AH327" s="252"/>
      <c r="AI327" s="252"/>
      <c r="AJ327" s="252"/>
      <c r="AK327" s="428"/>
      <c r="AL327" s="146"/>
    </row>
    <row r="328" spans="2:38" x14ac:dyDescent="0.25">
      <c r="B328" s="12" t="s">
        <v>23</v>
      </c>
      <c r="C328" s="12" t="s">
        <v>24</v>
      </c>
      <c r="D328" s="3" t="s">
        <v>10</v>
      </c>
      <c r="E328" s="44">
        <f>'Kalkulace a Porovnání'!E328</f>
        <v>0</v>
      </c>
      <c r="F328" s="44">
        <f>'Kalkulace a Porovnání'!F328</f>
        <v>0</v>
      </c>
      <c r="G328" s="44">
        <f>'Kalkulace a Porovnání'!G328</f>
        <v>0</v>
      </c>
      <c r="H328" s="30">
        <f>'Kalkulace a Porovnání'!H328</f>
        <v>0</v>
      </c>
      <c r="K328" s="12" t="s">
        <v>23</v>
      </c>
      <c r="L328" s="12" t="s">
        <v>24</v>
      </c>
      <c r="M328" s="3" t="s">
        <v>10</v>
      </c>
      <c r="N328" s="44">
        <f>'Kalkulace a Porovnání'!N328</f>
        <v>0</v>
      </c>
      <c r="O328" s="44">
        <f>'Kalkulace a Porovnání'!O328</f>
        <v>0</v>
      </c>
      <c r="P328" s="44">
        <f>'Kalkulace a Porovnání'!P328</f>
        <v>0</v>
      </c>
      <c r="Q328" s="30">
        <f>'Kalkulace a Porovnání'!Q328</f>
        <v>0</v>
      </c>
      <c r="T328" s="12" t="s">
        <v>23</v>
      </c>
      <c r="U328" s="12" t="s">
        <v>24</v>
      </c>
      <c r="V328" s="3" t="s">
        <v>10</v>
      </c>
      <c r="W328" s="44">
        <f>'Kalkulace a Porovnání'!W328</f>
        <v>0</v>
      </c>
      <c r="X328" s="44">
        <f>'Kalkulace a Porovnání'!X328</f>
        <v>0</v>
      </c>
      <c r="Y328" s="44">
        <f>'Kalkulace a Porovnání'!Y328</f>
        <v>0</v>
      </c>
      <c r="Z328" s="44">
        <f>'Kalkulace a Porovnání'!Z328</f>
        <v>0</v>
      </c>
      <c r="AA328" s="44">
        <f>'Kalkulace a Porovnání'!AA328</f>
        <v>0</v>
      </c>
      <c r="AB328" s="30">
        <f>'Kalkulace a Porovnání'!AB328</f>
        <v>0</v>
      </c>
      <c r="AC328" s="146"/>
      <c r="AD328" s="428"/>
      <c r="AG328" s="252"/>
      <c r="AH328" s="252"/>
      <c r="AI328" s="252"/>
      <c r="AJ328" s="252"/>
      <c r="AK328" s="428"/>
      <c r="AL328" s="146"/>
    </row>
    <row r="329" spans="2:38" x14ac:dyDescent="0.25">
      <c r="B329" s="9" t="s">
        <v>25</v>
      </c>
      <c r="C329" s="10" t="s">
        <v>400</v>
      </c>
      <c r="D329" s="11" t="s">
        <v>10</v>
      </c>
      <c r="E329" s="41">
        <f>'Kalkulace a Porovnání'!E329</f>
        <v>0</v>
      </c>
      <c r="F329" s="41">
        <f>'Kalkulace a Porovnání'!F329</f>
        <v>0</v>
      </c>
      <c r="G329" s="41">
        <f>'Kalkulace a Porovnání'!G329</f>
        <v>0</v>
      </c>
      <c r="H329" s="86">
        <f>'Kalkulace a Porovnání'!H329</f>
        <v>0</v>
      </c>
      <c r="K329" s="9" t="s">
        <v>25</v>
      </c>
      <c r="L329" s="10" t="s">
        <v>400</v>
      </c>
      <c r="M329" s="11" t="s">
        <v>10</v>
      </c>
      <c r="N329" s="41">
        <f>'Kalkulace a Porovnání'!N329</f>
        <v>0</v>
      </c>
      <c r="O329" s="41">
        <f>'Kalkulace a Porovnání'!O329</f>
        <v>0</v>
      </c>
      <c r="P329" s="41">
        <f>'Kalkulace a Porovnání'!P329</f>
        <v>0</v>
      </c>
      <c r="Q329" s="86">
        <f>'Kalkulace a Porovnání'!Q329</f>
        <v>0</v>
      </c>
      <c r="T329" s="9" t="s">
        <v>25</v>
      </c>
      <c r="U329" s="10" t="s">
        <v>400</v>
      </c>
      <c r="V329" s="11" t="s">
        <v>10</v>
      </c>
      <c r="W329" s="41">
        <f>'Kalkulace a Porovnání'!W329</f>
        <v>0</v>
      </c>
      <c r="X329" s="41">
        <f>'Kalkulace a Porovnání'!X329</f>
        <v>0</v>
      </c>
      <c r="Y329" s="41">
        <f>'Kalkulace a Porovnání'!Y329</f>
        <v>0</v>
      </c>
      <c r="Z329" s="41">
        <f>'Kalkulace a Porovnání'!Z329</f>
        <v>0</v>
      </c>
      <c r="AA329" s="41">
        <f>'Kalkulace a Porovnání'!AA329</f>
        <v>0</v>
      </c>
      <c r="AB329" s="86">
        <f>'Kalkulace a Porovnání'!AB329</f>
        <v>0</v>
      </c>
      <c r="AC329" s="146"/>
      <c r="AD329" s="428"/>
      <c r="AG329" s="252"/>
      <c r="AH329" s="252"/>
      <c r="AI329" s="252"/>
      <c r="AJ329" s="252"/>
      <c r="AK329" s="428"/>
      <c r="AL329" s="146"/>
    </row>
    <row r="330" spans="2:38" x14ac:dyDescent="0.25">
      <c r="B330" s="12" t="s">
        <v>26</v>
      </c>
      <c r="C330" s="13" t="s">
        <v>390</v>
      </c>
      <c r="D330" s="3" t="s">
        <v>10</v>
      </c>
      <c r="E330" s="44">
        <f>'Kalkulace a Porovnání'!E330</f>
        <v>0</v>
      </c>
      <c r="F330" s="44">
        <f>'Kalkulace a Porovnání'!F330</f>
        <v>0</v>
      </c>
      <c r="G330" s="44">
        <f>'Kalkulace a Porovnání'!G330</f>
        <v>0</v>
      </c>
      <c r="H330" s="30">
        <f>'Kalkulace a Porovnání'!H330</f>
        <v>0</v>
      </c>
      <c r="K330" s="12" t="s">
        <v>26</v>
      </c>
      <c r="L330" s="13" t="s">
        <v>390</v>
      </c>
      <c r="M330" s="3" t="s">
        <v>10</v>
      </c>
      <c r="N330" s="44">
        <f>'Kalkulace a Porovnání'!N330</f>
        <v>0</v>
      </c>
      <c r="O330" s="44">
        <f>'Kalkulace a Porovnání'!O330</f>
        <v>0</v>
      </c>
      <c r="P330" s="44">
        <f>'Kalkulace a Porovnání'!P330</f>
        <v>0</v>
      </c>
      <c r="Q330" s="30">
        <f>'Kalkulace a Porovnání'!Q330</f>
        <v>0</v>
      </c>
      <c r="T330" s="12" t="s">
        <v>26</v>
      </c>
      <c r="U330" s="13" t="s">
        <v>390</v>
      </c>
      <c r="V330" s="3" t="s">
        <v>10</v>
      </c>
      <c r="W330" s="44">
        <f>'Kalkulace a Porovnání'!W330</f>
        <v>0</v>
      </c>
      <c r="X330" s="44">
        <f>'Kalkulace a Porovnání'!X330</f>
        <v>0</v>
      </c>
      <c r="Y330" s="44">
        <f>'Kalkulace a Porovnání'!Y330</f>
        <v>0</v>
      </c>
      <c r="Z330" s="44">
        <f>'Kalkulace a Porovnání'!Z330</f>
        <v>0</v>
      </c>
      <c r="AA330" s="44">
        <f>'Kalkulace a Porovnání'!AA330</f>
        <v>0</v>
      </c>
      <c r="AB330" s="30">
        <f>'Kalkulace a Porovnání'!AB330</f>
        <v>0</v>
      </c>
      <c r="AC330" s="146"/>
      <c r="AD330" s="428"/>
      <c r="AG330" s="252"/>
      <c r="AH330" s="252"/>
      <c r="AI330" s="252"/>
      <c r="AJ330" s="252"/>
      <c r="AK330" s="428"/>
      <c r="AL330" s="146"/>
    </row>
    <row r="331" spans="2:38" x14ac:dyDescent="0.25">
      <c r="B331" s="12" t="s">
        <v>27</v>
      </c>
      <c r="C331" s="13" t="s">
        <v>401</v>
      </c>
      <c r="D331" s="3" t="s">
        <v>10</v>
      </c>
      <c r="E331" s="44">
        <f>'Kalkulace a Porovnání'!E331</f>
        <v>0</v>
      </c>
      <c r="F331" s="44">
        <f>'Kalkulace a Porovnání'!F331</f>
        <v>0</v>
      </c>
      <c r="G331" s="44">
        <f>'Kalkulace a Porovnání'!G331</f>
        <v>0</v>
      </c>
      <c r="H331" s="30">
        <f>'Kalkulace a Porovnání'!H331</f>
        <v>0</v>
      </c>
      <c r="K331" s="12" t="s">
        <v>27</v>
      </c>
      <c r="L331" s="13" t="s">
        <v>401</v>
      </c>
      <c r="M331" s="3" t="s">
        <v>10</v>
      </c>
      <c r="N331" s="44">
        <f>'Kalkulace a Porovnání'!N331</f>
        <v>0</v>
      </c>
      <c r="O331" s="44">
        <f>'Kalkulace a Porovnání'!O331</f>
        <v>0</v>
      </c>
      <c r="P331" s="44">
        <f>'Kalkulace a Porovnání'!P331</f>
        <v>0</v>
      </c>
      <c r="Q331" s="30">
        <f>'Kalkulace a Porovnání'!Q331</f>
        <v>0</v>
      </c>
      <c r="T331" s="12" t="s">
        <v>27</v>
      </c>
      <c r="U331" s="13" t="s">
        <v>401</v>
      </c>
      <c r="V331" s="3" t="s">
        <v>10</v>
      </c>
      <c r="W331" s="44">
        <f>'Kalkulace a Porovnání'!W331</f>
        <v>0</v>
      </c>
      <c r="X331" s="44">
        <f>'Kalkulace a Porovnání'!X331</f>
        <v>0</v>
      </c>
      <c r="Y331" s="44">
        <f>'Kalkulace a Porovnání'!Y331</f>
        <v>0</v>
      </c>
      <c r="Z331" s="44">
        <f>'Kalkulace a Porovnání'!Z331</f>
        <v>0</v>
      </c>
      <c r="AA331" s="44">
        <f>'Kalkulace a Porovnání'!AA331</f>
        <v>0</v>
      </c>
      <c r="AB331" s="30">
        <f>'Kalkulace a Porovnání'!AB331</f>
        <v>0</v>
      </c>
      <c r="AC331" s="146"/>
      <c r="AD331" s="428"/>
      <c r="AG331" s="252"/>
      <c r="AH331" s="252"/>
      <c r="AI331" s="252"/>
      <c r="AJ331" s="252"/>
      <c r="AK331" s="428"/>
      <c r="AL331" s="146"/>
    </row>
    <row r="332" spans="2:38" x14ac:dyDescent="0.25">
      <c r="B332" s="9" t="s">
        <v>28</v>
      </c>
      <c r="C332" s="10" t="s">
        <v>29</v>
      </c>
      <c r="D332" s="11" t="s">
        <v>10</v>
      </c>
      <c r="E332" s="41">
        <f>'Kalkulace a Porovnání'!E332</f>
        <v>0</v>
      </c>
      <c r="F332" s="41">
        <f>'Kalkulace a Porovnání'!F332</f>
        <v>0</v>
      </c>
      <c r="G332" s="41">
        <f>'Kalkulace a Porovnání'!G332</f>
        <v>0</v>
      </c>
      <c r="H332" s="86">
        <f>'Kalkulace a Porovnání'!H332</f>
        <v>0</v>
      </c>
      <c r="K332" s="9" t="s">
        <v>28</v>
      </c>
      <c r="L332" s="10" t="s">
        <v>29</v>
      </c>
      <c r="M332" s="11" t="s">
        <v>10</v>
      </c>
      <c r="N332" s="41">
        <f>'Kalkulace a Porovnání'!N332</f>
        <v>0</v>
      </c>
      <c r="O332" s="41">
        <f>'Kalkulace a Porovnání'!O332</f>
        <v>0</v>
      </c>
      <c r="P332" s="41">
        <f>'Kalkulace a Porovnání'!P332</f>
        <v>0</v>
      </c>
      <c r="Q332" s="86">
        <f>'Kalkulace a Porovnání'!Q332</f>
        <v>0</v>
      </c>
      <c r="T332" s="9" t="s">
        <v>28</v>
      </c>
      <c r="U332" s="10" t="s">
        <v>29</v>
      </c>
      <c r="V332" s="11" t="s">
        <v>10</v>
      </c>
      <c r="W332" s="41">
        <f>'Kalkulace a Porovnání'!W332</f>
        <v>0</v>
      </c>
      <c r="X332" s="41">
        <f>'Kalkulace a Porovnání'!X332</f>
        <v>0</v>
      </c>
      <c r="Y332" s="41">
        <f>'Kalkulace a Porovnání'!Y332</f>
        <v>0</v>
      </c>
      <c r="Z332" s="41">
        <f>'Kalkulace a Porovnání'!Z332</f>
        <v>0</v>
      </c>
      <c r="AA332" s="41">
        <f>'Kalkulace a Porovnání'!AA332</f>
        <v>0</v>
      </c>
      <c r="AB332" s="86">
        <f>'Kalkulace a Porovnání'!AB332</f>
        <v>0</v>
      </c>
      <c r="AC332" s="146"/>
      <c r="AD332" s="428"/>
      <c r="AG332" s="252"/>
      <c r="AH332" s="252"/>
      <c r="AI332" s="252"/>
      <c r="AJ332" s="252"/>
      <c r="AK332" s="428"/>
      <c r="AL332" s="146"/>
    </row>
    <row r="333" spans="2:38" x14ac:dyDescent="0.25">
      <c r="B333" s="12" t="s">
        <v>30</v>
      </c>
      <c r="C333" s="21" t="s">
        <v>381</v>
      </c>
      <c r="D333" s="3" t="s">
        <v>10</v>
      </c>
      <c r="E333" s="44">
        <f>'Kalkulace a Porovnání'!E333</f>
        <v>0</v>
      </c>
      <c r="F333" s="44">
        <f>'Kalkulace a Porovnání'!F333</f>
        <v>0</v>
      </c>
      <c r="G333" s="44">
        <f>'Kalkulace a Porovnání'!G333</f>
        <v>0</v>
      </c>
      <c r="H333" s="30">
        <f>'Kalkulace a Porovnání'!H333</f>
        <v>0</v>
      </c>
      <c r="K333" s="12" t="s">
        <v>30</v>
      </c>
      <c r="L333" s="21" t="s">
        <v>381</v>
      </c>
      <c r="M333" s="3" t="s">
        <v>10</v>
      </c>
      <c r="N333" s="44">
        <f>'Kalkulace a Porovnání'!N333</f>
        <v>0</v>
      </c>
      <c r="O333" s="44">
        <f>'Kalkulace a Porovnání'!O333</f>
        <v>0</v>
      </c>
      <c r="P333" s="44">
        <f>'Kalkulace a Porovnání'!P333</f>
        <v>0</v>
      </c>
      <c r="Q333" s="30">
        <f>'Kalkulace a Porovnání'!Q333</f>
        <v>0</v>
      </c>
      <c r="T333" s="12" t="s">
        <v>30</v>
      </c>
      <c r="U333" s="21" t="s">
        <v>381</v>
      </c>
      <c r="V333" s="3" t="s">
        <v>10</v>
      </c>
      <c r="W333" s="44">
        <f>'Kalkulace a Porovnání'!W333</f>
        <v>0</v>
      </c>
      <c r="X333" s="44">
        <f>'Kalkulace a Porovnání'!X333</f>
        <v>0</v>
      </c>
      <c r="Y333" s="44">
        <f>'Kalkulace a Porovnání'!Y333</f>
        <v>0</v>
      </c>
      <c r="Z333" s="44">
        <f>'Kalkulace a Porovnání'!Z333</f>
        <v>0</v>
      </c>
      <c r="AA333" s="44">
        <f>'Kalkulace a Porovnání'!AA333</f>
        <v>0</v>
      </c>
      <c r="AB333" s="30">
        <f>'Kalkulace a Porovnání'!AB333</f>
        <v>0</v>
      </c>
      <c r="AC333" s="146"/>
      <c r="AD333" s="428"/>
      <c r="AG333" s="428"/>
      <c r="AH333" s="428"/>
      <c r="AI333" s="252"/>
      <c r="AJ333" s="252"/>
      <c r="AK333" s="428"/>
      <c r="AL333" s="146"/>
    </row>
    <row r="334" spans="2:38" x14ac:dyDescent="0.25">
      <c r="B334" s="12" t="s">
        <v>32</v>
      </c>
      <c r="C334" s="13" t="s">
        <v>383</v>
      </c>
      <c r="D334" s="3" t="s">
        <v>10</v>
      </c>
      <c r="E334" s="44">
        <f>'Kalkulace a Porovnání'!E334</f>
        <v>0</v>
      </c>
      <c r="F334" s="44">
        <f>'Kalkulace a Porovnání'!F334</f>
        <v>0</v>
      </c>
      <c r="G334" s="44">
        <f>'Kalkulace a Porovnání'!G334</f>
        <v>0</v>
      </c>
      <c r="H334" s="30">
        <f>'Kalkulace a Porovnání'!H334</f>
        <v>0</v>
      </c>
      <c r="K334" s="12" t="s">
        <v>32</v>
      </c>
      <c r="L334" s="13" t="s">
        <v>383</v>
      </c>
      <c r="M334" s="3" t="s">
        <v>10</v>
      </c>
      <c r="N334" s="44">
        <f>'Kalkulace a Porovnání'!N334</f>
        <v>0</v>
      </c>
      <c r="O334" s="44">
        <f>'Kalkulace a Porovnání'!O334</f>
        <v>0</v>
      </c>
      <c r="P334" s="44">
        <f>'Kalkulace a Porovnání'!P334</f>
        <v>0</v>
      </c>
      <c r="Q334" s="30">
        <f>'Kalkulace a Porovnání'!Q334</f>
        <v>0</v>
      </c>
      <c r="T334" s="12" t="s">
        <v>32</v>
      </c>
      <c r="U334" s="13" t="s">
        <v>383</v>
      </c>
      <c r="V334" s="3" t="s">
        <v>10</v>
      </c>
      <c r="W334" s="44">
        <f>'Kalkulace a Porovnání'!W334</f>
        <v>0</v>
      </c>
      <c r="X334" s="44">
        <f>'Kalkulace a Porovnání'!X334</f>
        <v>0</v>
      </c>
      <c r="Y334" s="44">
        <f>'Kalkulace a Porovnání'!Y334</f>
        <v>0</v>
      </c>
      <c r="Z334" s="44">
        <f>'Kalkulace a Porovnání'!Z334</f>
        <v>0</v>
      </c>
      <c r="AA334" s="44">
        <f>'Kalkulace a Porovnání'!AA334</f>
        <v>0</v>
      </c>
      <c r="AB334" s="30">
        <f>'Kalkulace a Porovnání'!AB334</f>
        <v>0</v>
      </c>
      <c r="AC334" s="146"/>
      <c r="AD334" s="428"/>
      <c r="AG334" s="428"/>
      <c r="AH334" s="428"/>
      <c r="AI334" s="252"/>
      <c r="AJ334" s="252"/>
      <c r="AK334" s="428"/>
      <c r="AL334" s="146"/>
    </row>
    <row r="335" spans="2:38" x14ac:dyDescent="0.25">
      <c r="B335" s="12" t="s">
        <v>33</v>
      </c>
      <c r="C335" s="13" t="s">
        <v>382</v>
      </c>
      <c r="D335" s="3" t="s">
        <v>10</v>
      </c>
      <c r="E335" s="44">
        <f>'Kalkulace a Porovnání'!E335</f>
        <v>0</v>
      </c>
      <c r="F335" s="44">
        <f>'Kalkulace a Porovnání'!F335</f>
        <v>0</v>
      </c>
      <c r="G335" s="44">
        <f>'Kalkulace a Porovnání'!G335</f>
        <v>0</v>
      </c>
      <c r="H335" s="30">
        <f>'Kalkulace a Porovnání'!H335</f>
        <v>0</v>
      </c>
      <c r="K335" s="12" t="s">
        <v>33</v>
      </c>
      <c r="L335" s="13" t="s">
        <v>382</v>
      </c>
      <c r="M335" s="3" t="s">
        <v>10</v>
      </c>
      <c r="N335" s="44">
        <f>'Kalkulace a Porovnání'!N335</f>
        <v>0</v>
      </c>
      <c r="O335" s="44">
        <f>'Kalkulace a Porovnání'!O335</f>
        <v>0</v>
      </c>
      <c r="P335" s="44">
        <f>'Kalkulace a Porovnání'!P335</f>
        <v>0</v>
      </c>
      <c r="Q335" s="30">
        <f>'Kalkulace a Porovnání'!Q335</f>
        <v>0</v>
      </c>
      <c r="T335" s="12" t="s">
        <v>33</v>
      </c>
      <c r="U335" s="13" t="s">
        <v>382</v>
      </c>
      <c r="V335" s="3" t="s">
        <v>10</v>
      </c>
      <c r="W335" s="44">
        <f>'Kalkulace a Porovnání'!W335</f>
        <v>0</v>
      </c>
      <c r="X335" s="44">
        <f>'Kalkulace a Porovnání'!X335</f>
        <v>0</v>
      </c>
      <c r="Y335" s="44">
        <f>'Kalkulace a Porovnání'!Y335</f>
        <v>0</v>
      </c>
      <c r="Z335" s="44">
        <f>'Kalkulace a Porovnání'!Z335</f>
        <v>0</v>
      </c>
      <c r="AA335" s="44">
        <f>'Kalkulace a Porovnání'!AA335</f>
        <v>0</v>
      </c>
      <c r="AB335" s="30">
        <f>'Kalkulace a Porovnání'!AB335</f>
        <v>0</v>
      </c>
      <c r="AC335" s="146"/>
      <c r="AD335" s="428"/>
      <c r="AG335" s="252"/>
      <c r="AH335" s="252"/>
      <c r="AI335" s="252"/>
      <c r="AJ335" s="252"/>
      <c r="AK335" s="428"/>
      <c r="AL335" s="146"/>
    </row>
    <row r="336" spans="2:38" x14ac:dyDescent="0.25">
      <c r="B336" s="12" t="s">
        <v>34</v>
      </c>
      <c r="C336" s="21" t="s">
        <v>384</v>
      </c>
      <c r="D336" s="3" t="s">
        <v>10</v>
      </c>
      <c r="E336" s="44">
        <f>'Kalkulace a Porovnání'!E336</f>
        <v>0</v>
      </c>
      <c r="F336" s="44">
        <f>'Kalkulace a Porovnání'!F336</f>
        <v>0</v>
      </c>
      <c r="G336" s="44">
        <f>'Kalkulace a Porovnání'!G336</f>
        <v>0</v>
      </c>
      <c r="H336" s="30">
        <f>'Kalkulace a Porovnání'!H336</f>
        <v>0</v>
      </c>
      <c r="K336" s="12" t="s">
        <v>34</v>
      </c>
      <c r="L336" s="21" t="s">
        <v>384</v>
      </c>
      <c r="M336" s="3" t="s">
        <v>10</v>
      </c>
      <c r="N336" s="44">
        <f>'Kalkulace a Porovnání'!N336</f>
        <v>0</v>
      </c>
      <c r="O336" s="44">
        <f>'Kalkulace a Porovnání'!O336</f>
        <v>0</v>
      </c>
      <c r="P336" s="44">
        <f>'Kalkulace a Porovnání'!P336</f>
        <v>0</v>
      </c>
      <c r="Q336" s="30">
        <f>'Kalkulace a Porovnání'!Q336</f>
        <v>0</v>
      </c>
      <c r="T336" s="12" t="s">
        <v>34</v>
      </c>
      <c r="U336" s="21" t="s">
        <v>384</v>
      </c>
      <c r="V336" s="3" t="s">
        <v>10</v>
      </c>
      <c r="W336" s="44">
        <f>'Kalkulace a Porovnání'!W336</f>
        <v>0</v>
      </c>
      <c r="X336" s="44">
        <f>'Kalkulace a Porovnání'!X336</f>
        <v>0</v>
      </c>
      <c r="Y336" s="44">
        <f>'Kalkulace a Porovnání'!Y336</f>
        <v>0</v>
      </c>
      <c r="Z336" s="44">
        <f>'Kalkulace a Porovnání'!Z336</f>
        <v>0</v>
      </c>
      <c r="AA336" s="44">
        <f>'Kalkulace a Porovnání'!AA336</f>
        <v>0</v>
      </c>
      <c r="AB336" s="30">
        <f>'Kalkulace a Porovnání'!AB336</f>
        <v>0</v>
      </c>
      <c r="AC336" s="146"/>
      <c r="AD336" s="428"/>
      <c r="AG336" s="252"/>
      <c r="AH336" s="252"/>
      <c r="AI336" s="252"/>
      <c r="AJ336" s="252"/>
      <c r="AK336" s="428"/>
      <c r="AL336" s="146"/>
    </row>
    <row r="337" spans="2:38" x14ac:dyDescent="0.25">
      <c r="B337" s="9" t="s">
        <v>35</v>
      </c>
      <c r="C337" s="10" t="s">
        <v>387</v>
      </c>
      <c r="D337" s="11" t="s">
        <v>10</v>
      </c>
      <c r="E337" s="41">
        <f>'Kalkulace a Porovnání'!E337</f>
        <v>0</v>
      </c>
      <c r="F337" s="41">
        <f>'Kalkulace a Porovnání'!F337</f>
        <v>0</v>
      </c>
      <c r="G337" s="41">
        <f>'Kalkulace a Porovnání'!G337</f>
        <v>0</v>
      </c>
      <c r="H337" s="86">
        <f>'Kalkulace a Porovnání'!H337</f>
        <v>0</v>
      </c>
      <c r="K337" s="9" t="s">
        <v>35</v>
      </c>
      <c r="L337" s="10" t="s">
        <v>387</v>
      </c>
      <c r="M337" s="11" t="s">
        <v>10</v>
      </c>
      <c r="N337" s="41">
        <f>'Kalkulace a Porovnání'!N337</f>
        <v>0</v>
      </c>
      <c r="O337" s="41">
        <f>'Kalkulace a Porovnání'!O337</f>
        <v>0</v>
      </c>
      <c r="P337" s="41">
        <f>'Kalkulace a Porovnání'!P337</f>
        <v>0</v>
      </c>
      <c r="Q337" s="86">
        <f>'Kalkulace a Porovnání'!Q337</f>
        <v>0</v>
      </c>
      <c r="T337" s="9" t="s">
        <v>35</v>
      </c>
      <c r="U337" s="10" t="s">
        <v>387</v>
      </c>
      <c r="V337" s="11" t="s">
        <v>10</v>
      </c>
      <c r="W337" s="41">
        <f>'Kalkulace a Porovnání'!W337</f>
        <v>0</v>
      </c>
      <c r="X337" s="41">
        <f>'Kalkulace a Porovnání'!X337</f>
        <v>0</v>
      </c>
      <c r="Y337" s="41">
        <f>'Kalkulace a Porovnání'!Y337</f>
        <v>0</v>
      </c>
      <c r="Z337" s="41">
        <f>'Kalkulace a Porovnání'!Z337</f>
        <v>0</v>
      </c>
      <c r="AA337" s="41">
        <f>'Kalkulace a Porovnání'!AA337</f>
        <v>0</v>
      </c>
      <c r="AB337" s="86">
        <f>'Kalkulace a Porovnání'!AB337</f>
        <v>0</v>
      </c>
      <c r="AC337" s="146"/>
      <c r="AD337" s="428"/>
      <c r="AG337" s="429"/>
      <c r="AH337" s="429"/>
      <c r="AI337" s="252"/>
      <c r="AJ337" s="252"/>
      <c r="AK337" s="428"/>
      <c r="AL337" s="146"/>
    </row>
    <row r="338" spans="2:38" x14ac:dyDescent="0.25">
      <c r="B338" s="12" t="s">
        <v>37</v>
      </c>
      <c r="C338" s="13" t="s">
        <v>38</v>
      </c>
      <c r="D338" s="3" t="s">
        <v>10</v>
      </c>
      <c r="E338" s="44">
        <f>'Kalkulace a Porovnání'!E338</f>
        <v>0</v>
      </c>
      <c r="F338" s="44">
        <f>'Kalkulace a Porovnání'!F338</f>
        <v>0</v>
      </c>
      <c r="G338" s="44">
        <f>'Kalkulace a Porovnání'!G338</f>
        <v>0</v>
      </c>
      <c r="H338" s="30">
        <f>'Kalkulace a Porovnání'!H338</f>
        <v>0</v>
      </c>
      <c r="K338" s="12" t="s">
        <v>37</v>
      </c>
      <c r="L338" s="13" t="s">
        <v>38</v>
      </c>
      <c r="M338" s="3" t="s">
        <v>10</v>
      </c>
      <c r="N338" s="44">
        <f>'Kalkulace a Porovnání'!N338</f>
        <v>0</v>
      </c>
      <c r="O338" s="44">
        <f>'Kalkulace a Porovnání'!O338</f>
        <v>0</v>
      </c>
      <c r="P338" s="44">
        <f>'Kalkulace a Porovnání'!P338</f>
        <v>0</v>
      </c>
      <c r="Q338" s="30">
        <f>'Kalkulace a Porovnání'!Q338</f>
        <v>0</v>
      </c>
      <c r="T338" s="12" t="s">
        <v>37</v>
      </c>
      <c r="U338" s="13" t="s">
        <v>38</v>
      </c>
      <c r="V338" s="3" t="s">
        <v>10</v>
      </c>
      <c r="W338" s="44">
        <f>'Kalkulace a Porovnání'!W338</f>
        <v>0</v>
      </c>
      <c r="X338" s="44">
        <f>'Kalkulace a Porovnání'!X338</f>
        <v>0</v>
      </c>
      <c r="Y338" s="44">
        <f>'Kalkulace a Porovnání'!Y338</f>
        <v>0</v>
      </c>
      <c r="Z338" s="44">
        <f>'Kalkulace a Porovnání'!Z338</f>
        <v>0</v>
      </c>
      <c r="AA338" s="44">
        <f>'Kalkulace a Porovnání'!AA338</f>
        <v>0</v>
      </c>
      <c r="AB338" s="30">
        <f>'Kalkulace a Porovnání'!AB338</f>
        <v>0</v>
      </c>
      <c r="AC338" s="146"/>
      <c r="AD338" s="428"/>
      <c r="AG338" s="1119"/>
      <c r="AH338" s="1119"/>
      <c r="AI338" s="252"/>
      <c r="AJ338" s="252"/>
      <c r="AK338" s="428"/>
      <c r="AL338" s="146"/>
    </row>
    <row r="339" spans="2:38" x14ac:dyDescent="0.25">
      <c r="B339" s="12" t="s">
        <v>39</v>
      </c>
      <c r="C339" s="12" t="s">
        <v>40</v>
      </c>
      <c r="D339" s="3" t="s">
        <v>10</v>
      </c>
      <c r="E339" s="44">
        <f>'Kalkulace a Porovnání'!E339</f>
        <v>0</v>
      </c>
      <c r="F339" s="44">
        <f>'Kalkulace a Porovnání'!F339</f>
        <v>0</v>
      </c>
      <c r="G339" s="44">
        <f>'Kalkulace a Porovnání'!G339</f>
        <v>0</v>
      </c>
      <c r="H339" s="30">
        <f>'Kalkulace a Porovnání'!H339</f>
        <v>0</v>
      </c>
      <c r="K339" s="12" t="s">
        <v>39</v>
      </c>
      <c r="L339" s="12" t="s">
        <v>40</v>
      </c>
      <c r="M339" s="3" t="s">
        <v>10</v>
      </c>
      <c r="N339" s="44">
        <f>'Kalkulace a Porovnání'!N339</f>
        <v>0</v>
      </c>
      <c r="O339" s="44">
        <f>'Kalkulace a Porovnání'!O339</f>
        <v>0</v>
      </c>
      <c r="P339" s="44">
        <f>'Kalkulace a Porovnání'!P339</f>
        <v>0</v>
      </c>
      <c r="Q339" s="30">
        <f>'Kalkulace a Porovnání'!Q339</f>
        <v>0</v>
      </c>
      <c r="T339" s="12" t="s">
        <v>39</v>
      </c>
      <c r="U339" s="12" t="s">
        <v>40</v>
      </c>
      <c r="V339" s="3" t="s">
        <v>10</v>
      </c>
      <c r="W339" s="44">
        <f>'Kalkulace a Porovnání'!W339</f>
        <v>0</v>
      </c>
      <c r="X339" s="44">
        <f>'Kalkulace a Porovnání'!X339</f>
        <v>0</v>
      </c>
      <c r="Y339" s="44">
        <f>'Kalkulace a Porovnání'!Y339</f>
        <v>0</v>
      </c>
      <c r="Z339" s="44">
        <f>'Kalkulace a Porovnání'!Z339</f>
        <v>0</v>
      </c>
      <c r="AA339" s="44">
        <f>'Kalkulace a Porovnání'!AA339</f>
        <v>0</v>
      </c>
      <c r="AB339" s="30">
        <f>'Kalkulace a Porovnání'!AB339</f>
        <v>0</v>
      </c>
      <c r="AC339" s="146"/>
      <c r="AD339" s="428"/>
      <c r="AG339" s="1119"/>
      <c r="AH339" s="1119"/>
      <c r="AI339" s="252"/>
      <c r="AJ339" s="252"/>
      <c r="AK339" s="428"/>
      <c r="AL339" s="146"/>
    </row>
    <row r="340" spans="2:38" x14ac:dyDescent="0.25">
      <c r="B340" s="12" t="s">
        <v>41</v>
      </c>
      <c r="C340" s="13" t="s">
        <v>42</v>
      </c>
      <c r="D340" s="3" t="s">
        <v>10</v>
      </c>
      <c r="E340" s="44">
        <f>'Kalkulace a Porovnání'!E340</f>
        <v>0</v>
      </c>
      <c r="F340" s="44">
        <f>'Kalkulace a Porovnání'!F340</f>
        <v>0</v>
      </c>
      <c r="G340" s="44">
        <f>'Kalkulace a Porovnání'!G340</f>
        <v>0</v>
      </c>
      <c r="H340" s="30">
        <f>'Kalkulace a Porovnání'!H340</f>
        <v>0</v>
      </c>
      <c r="K340" s="12" t="s">
        <v>41</v>
      </c>
      <c r="L340" s="13" t="s">
        <v>42</v>
      </c>
      <c r="M340" s="3" t="s">
        <v>10</v>
      </c>
      <c r="N340" s="44">
        <f>'Kalkulace a Porovnání'!N340</f>
        <v>0</v>
      </c>
      <c r="O340" s="44">
        <f>'Kalkulace a Porovnání'!O340</f>
        <v>0</v>
      </c>
      <c r="P340" s="44">
        <f>'Kalkulace a Porovnání'!P340</f>
        <v>0</v>
      </c>
      <c r="Q340" s="30">
        <f>'Kalkulace a Porovnání'!Q340</f>
        <v>0</v>
      </c>
      <c r="T340" s="12" t="s">
        <v>41</v>
      </c>
      <c r="U340" s="13" t="s">
        <v>42</v>
      </c>
      <c r="V340" s="3" t="s">
        <v>10</v>
      </c>
      <c r="W340" s="44">
        <f>'Kalkulace a Porovnání'!W340</f>
        <v>0</v>
      </c>
      <c r="X340" s="44">
        <f>'Kalkulace a Porovnání'!X340</f>
        <v>0</v>
      </c>
      <c r="Y340" s="44">
        <f>'Kalkulace a Porovnání'!Y340</f>
        <v>0</v>
      </c>
      <c r="Z340" s="44">
        <f>'Kalkulace a Porovnání'!Z340</f>
        <v>0</v>
      </c>
      <c r="AA340" s="44">
        <f>'Kalkulace a Porovnání'!AA340</f>
        <v>0</v>
      </c>
      <c r="AB340" s="30">
        <f>'Kalkulace a Porovnání'!AB340</f>
        <v>0</v>
      </c>
      <c r="AC340" s="146"/>
      <c r="AD340" s="428"/>
      <c r="AG340" s="426"/>
      <c r="AH340" s="426"/>
      <c r="AI340" s="252"/>
      <c r="AJ340" s="252"/>
      <c r="AK340" s="428"/>
      <c r="AL340" s="146"/>
    </row>
    <row r="341" spans="2:38" x14ac:dyDescent="0.25">
      <c r="B341" s="9" t="s">
        <v>43</v>
      </c>
      <c r="C341" s="10" t="s">
        <v>44</v>
      </c>
      <c r="D341" s="11" t="s">
        <v>10</v>
      </c>
      <c r="E341" s="44">
        <f>'Kalkulace a Porovnání'!E341</f>
        <v>0</v>
      </c>
      <c r="F341" s="44">
        <f>'Kalkulace a Porovnání'!F341</f>
        <v>0</v>
      </c>
      <c r="G341" s="44">
        <f>'Kalkulace a Porovnání'!G341</f>
        <v>0</v>
      </c>
      <c r="H341" s="30">
        <f>'Kalkulace a Porovnání'!H341</f>
        <v>0</v>
      </c>
      <c r="K341" s="9" t="s">
        <v>43</v>
      </c>
      <c r="L341" s="10" t="s">
        <v>44</v>
      </c>
      <c r="M341" s="11" t="s">
        <v>10</v>
      </c>
      <c r="N341" s="44">
        <f>'Kalkulace a Porovnání'!N341</f>
        <v>0</v>
      </c>
      <c r="O341" s="44">
        <f>'Kalkulace a Porovnání'!O341</f>
        <v>0</v>
      </c>
      <c r="P341" s="44">
        <f>'Kalkulace a Porovnání'!P341</f>
        <v>0</v>
      </c>
      <c r="Q341" s="30">
        <f>'Kalkulace a Porovnání'!Q341</f>
        <v>0</v>
      </c>
      <c r="T341" s="9" t="s">
        <v>43</v>
      </c>
      <c r="U341" s="10" t="s">
        <v>44</v>
      </c>
      <c r="V341" s="11" t="s">
        <v>10</v>
      </c>
      <c r="W341" s="44">
        <f>'Kalkulace a Porovnání'!W341</f>
        <v>0</v>
      </c>
      <c r="X341" s="44">
        <f>'Kalkulace a Porovnání'!X341</f>
        <v>0</v>
      </c>
      <c r="Y341" s="44">
        <f>'Kalkulace a Porovnání'!Y341</f>
        <v>0</v>
      </c>
      <c r="Z341" s="44">
        <f>'Kalkulace a Porovnání'!Z341</f>
        <v>0</v>
      </c>
      <c r="AA341" s="44">
        <f>'Kalkulace a Porovnání'!AA341</f>
        <v>0</v>
      </c>
      <c r="AB341" s="30">
        <f>'Kalkulace a Porovnání'!AB341</f>
        <v>0</v>
      </c>
      <c r="AC341" s="146"/>
      <c r="AD341" s="428"/>
      <c r="AG341" s="147"/>
      <c r="AH341" s="147"/>
      <c r="AI341" s="252"/>
      <c r="AJ341" s="252"/>
      <c r="AK341" s="428"/>
      <c r="AL341" s="146"/>
    </row>
    <row r="342" spans="2:38" x14ac:dyDescent="0.25">
      <c r="B342" s="9" t="s">
        <v>45</v>
      </c>
      <c r="C342" s="10" t="s">
        <v>388</v>
      </c>
      <c r="D342" s="11" t="s">
        <v>10</v>
      </c>
      <c r="E342" s="44">
        <f>'Kalkulace a Porovnání'!E342</f>
        <v>0</v>
      </c>
      <c r="F342" s="44">
        <f>'Kalkulace a Porovnání'!F342</f>
        <v>0</v>
      </c>
      <c r="G342" s="44">
        <f>'Kalkulace a Porovnání'!G342</f>
        <v>0</v>
      </c>
      <c r="H342" s="30">
        <f>'Kalkulace a Porovnání'!H342</f>
        <v>0</v>
      </c>
      <c r="K342" s="9" t="s">
        <v>45</v>
      </c>
      <c r="L342" s="10" t="s">
        <v>388</v>
      </c>
      <c r="M342" s="11" t="s">
        <v>10</v>
      </c>
      <c r="N342" s="44">
        <f>'Kalkulace a Porovnání'!N342</f>
        <v>0</v>
      </c>
      <c r="O342" s="44">
        <f>'Kalkulace a Porovnání'!O342</f>
        <v>0</v>
      </c>
      <c r="P342" s="44">
        <f>'Kalkulace a Porovnání'!P342</f>
        <v>0</v>
      </c>
      <c r="Q342" s="30">
        <f>'Kalkulace a Porovnání'!Q342</f>
        <v>0</v>
      </c>
      <c r="T342" s="9" t="s">
        <v>45</v>
      </c>
      <c r="U342" s="10" t="s">
        <v>388</v>
      </c>
      <c r="V342" s="11" t="s">
        <v>10</v>
      </c>
      <c r="W342" s="44">
        <f>'Kalkulace a Porovnání'!W342</f>
        <v>0</v>
      </c>
      <c r="X342" s="44">
        <f>'Kalkulace a Porovnání'!X342</f>
        <v>0</v>
      </c>
      <c r="Y342" s="44">
        <f>'Kalkulace a Porovnání'!Y342</f>
        <v>0</v>
      </c>
      <c r="Z342" s="44">
        <f>'Kalkulace a Porovnání'!Z342</f>
        <v>0</v>
      </c>
      <c r="AA342" s="44">
        <f>'Kalkulace a Porovnání'!AA342</f>
        <v>0</v>
      </c>
      <c r="AB342" s="30">
        <f>'Kalkulace a Porovnání'!AB342</f>
        <v>0</v>
      </c>
      <c r="AC342" s="146"/>
      <c r="AD342" s="428"/>
      <c r="AG342" s="147"/>
      <c r="AH342" s="147"/>
      <c r="AI342" s="252"/>
      <c r="AJ342" s="252"/>
      <c r="AK342" s="428"/>
      <c r="AL342" s="146"/>
    </row>
    <row r="343" spans="2:38" x14ac:dyDescent="0.25">
      <c r="B343" s="9" t="s">
        <v>46</v>
      </c>
      <c r="C343" s="10" t="s">
        <v>47</v>
      </c>
      <c r="D343" s="11" t="s">
        <v>10</v>
      </c>
      <c r="E343" s="44">
        <f>'Kalkulace a Porovnání'!E343</f>
        <v>0</v>
      </c>
      <c r="F343" s="44">
        <f>'Kalkulace a Porovnání'!F343</f>
        <v>0</v>
      </c>
      <c r="G343" s="44">
        <f>'Kalkulace a Porovnání'!G343</f>
        <v>0</v>
      </c>
      <c r="H343" s="30">
        <f>'Kalkulace a Porovnání'!H343</f>
        <v>0</v>
      </c>
      <c r="K343" s="9" t="s">
        <v>46</v>
      </c>
      <c r="L343" s="10" t="s">
        <v>47</v>
      </c>
      <c r="M343" s="11" t="s">
        <v>10</v>
      </c>
      <c r="N343" s="44">
        <f>'Kalkulace a Porovnání'!N343</f>
        <v>0</v>
      </c>
      <c r="O343" s="44">
        <f>'Kalkulace a Porovnání'!O343</f>
        <v>0</v>
      </c>
      <c r="P343" s="44">
        <f>'Kalkulace a Porovnání'!P343</f>
        <v>0</v>
      </c>
      <c r="Q343" s="30">
        <f>'Kalkulace a Porovnání'!Q343</f>
        <v>0</v>
      </c>
      <c r="T343" s="9" t="s">
        <v>46</v>
      </c>
      <c r="U343" s="10" t="s">
        <v>47</v>
      </c>
      <c r="V343" s="11" t="s">
        <v>10</v>
      </c>
      <c r="W343" s="44">
        <f>'Kalkulace a Porovnání'!W343</f>
        <v>0</v>
      </c>
      <c r="X343" s="44">
        <f>'Kalkulace a Porovnání'!X343</f>
        <v>0</v>
      </c>
      <c r="Y343" s="44">
        <f>'Kalkulace a Porovnání'!Y343</f>
        <v>0</v>
      </c>
      <c r="Z343" s="44">
        <f>'Kalkulace a Porovnání'!Z343</f>
        <v>0</v>
      </c>
      <c r="AA343" s="44">
        <f>'Kalkulace a Porovnání'!AA343</f>
        <v>0</v>
      </c>
      <c r="AB343" s="30">
        <f>'Kalkulace a Porovnání'!AB343</f>
        <v>0</v>
      </c>
      <c r="AC343" s="146"/>
      <c r="AD343" s="428"/>
      <c r="AG343" s="147"/>
      <c r="AH343" s="147"/>
      <c r="AI343" s="252"/>
      <c r="AJ343" s="252"/>
      <c r="AK343" s="428"/>
      <c r="AL343" s="146"/>
    </row>
    <row r="344" spans="2:38" x14ac:dyDescent="0.25">
      <c r="B344" s="9" t="s">
        <v>48</v>
      </c>
      <c r="C344" s="10" t="s">
        <v>49</v>
      </c>
      <c r="D344" s="11" t="s">
        <v>10</v>
      </c>
      <c r="E344" s="44">
        <f>'Kalkulace a Porovnání'!E344</f>
        <v>0</v>
      </c>
      <c r="F344" s="44">
        <f>'Kalkulace a Porovnání'!F344</f>
        <v>0</v>
      </c>
      <c r="G344" s="44">
        <f>'Kalkulace a Porovnání'!G344</f>
        <v>0</v>
      </c>
      <c r="H344" s="30">
        <f>'Kalkulace a Porovnání'!H344</f>
        <v>0</v>
      </c>
      <c r="K344" s="9" t="s">
        <v>48</v>
      </c>
      <c r="L344" s="10" t="s">
        <v>49</v>
      </c>
      <c r="M344" s="11" t="s">
        <v>10</v>
      </c>
      <c r="N344" s="44">
        <f>'Kalkulace a Porovnání'!N344</f>
        <v>0</v>
      </c>
      <c r="O344" s="44">
        <f>'Kalkulace a Porovnání'!O344</f>
        <v>0</v>
      </c>
      <c r="P344" s="44">
        <f>'Kalkulace a Porovnání'!P344</f>
        <v>0</v>
      </c>
      <c r="Q344" s="30">
        <f>'Kalkulace a Porovnání'!Q344</f>
        <v>0</v>
      </c>
      <c r="T344" s="9" t="s">
        <v>48</v>
      </c>
      <c r="U344" s="10" t="s">
        <v>49</v>
      </c>
      <c r="V344" s="11" t="s">
        <v>10</v>
      </c>
      <c r="W344" s="44">
        <f>'Kalkulace a Porovnání'!W344</f>
        <v>0</v>
      </c>
      <c r="X344" s="44">
        <f>'Kalkulace a Porovnání'!X344</f>
        <v>0</v>
      </c>
      <c r="Y344" s="44">
        <f>'Kalkulace a Porovnání'!Y344</f>
        <v>0</v>
      </c>
      <c r="Z344" s="44">
        <f>'Kalkulace a Porovnání'!Z344</f>
        <v>0</v>
      </c>
      <c r="AA344" s="44">
        <f>'Kalkulace a Porovnání'!AA344</f>
        <v>0</v>
      </c>
      <c r="AB344" s="30">
        <f>'Kalkulace a Porovnání'!AB344</f>
        <v>0</v>
      </c>
      <c r="AC344" s="146"/>
      <c r="AD344" s="428"/>
      <c r="AG344" s="147"/>
      <c r="AH344" s="147"/>
      <c r="AI344" s="252"/>
      <c r="AJ344" s="252"/>
      <c r="AK344" s="428"/>
      <c r="AL344" s="146"/>
    </row>
    <row r="345" spans="2:38" x14ac:dyDescent="0.25">
      <c r="B345" s="12" t="s">
        <v>386</v>
      </c>
      <c r="C345" s="13" t="s">
        <v>385</v>
      </c>
      <c r="D345" s="3" t="s">
        <v>10</v>
      </c>
      <c r="E345" s="44">
        <f>'Kalkulace a Porovnání'!E345</f>
        <v>0</v>
      </c>
      <c r="F345" s="44">
        <f>'Kalkulace a Porovnání'!F345</f>
        <v>0.02</v>
      </c>
      <c r="G345" s="44">
        <f>'Kalkulace a Porovnání'!G345</f>
        <v>0</v>
      </c>
      <c r="H345" s="30">
        <f>'Kalkulace a Porovnání'!H345</f>
        <v>0.02</v>
      </c>
      <c r="K345" s="12" t="s">
        <v>386</v>
      </c>
      <c r="L345" s="13" t="s">
        <v>385</v>
      </c>
      <c r="M345" s="3" t="s">
        <v>10</v>
      </c>
      <c r="N345" s="44">
        <f>'Kalkulace a Porovnání'!N345</f>
        <v>0</v>
      </c>
      <c r="O345" s="44">
        <f>'Kalkulace a Porovnání'!O345</f>
        <v>0</v>
      </c>
      <c r="P345" s="44">
        <f>'Kalkulace a Porovnání'!P345</f>
        <v>0</v>
      </c>
      <c r="Q345" s="30">
        <f>'Kalkulace a Porovnání'!Q345</f>
        <v>0</v>
      </c>
      <c r="T345" s="12" t="s">
        <v>386</v>
      </c>
      <c r="U345" s="13" t="s">
        <v>385</v>
      </c>
      <c r="V345" s="3" t="s">
        <v>10</v>
      </c>
      <c r="W345" s="44">
        <f>'Kalkulace a Porovnání'!W345</f>
        <v>0</v>
      </c>
      <c r="X345" s="44">
        <f>'Kalkulace a Porovnání'!X345</f>
        <v>0</v>
      </c>
      <c r="Y345" s="44">
        <f>'Kalkulace a Porovnání'!Y345</f>
        <v>0</v>
      </c>
      <c r="Z345" s="44">
        <f>'Kalkulace a Porovnání'!Z345</f>
        <v>0</v>
      </c>
      <c r="AA345" s="44">
        <f>'Kalkulace a Porovnání'!AA345</f>
        <v>0</v>
      </c>
      <c r="AB345" s="30">
        <f>'Kalkulace a Porovnání'!AB345</f>
        <v>0</v>
      </c>
      <c r="AC345" s="146"/>
      <c r="AD345" s="428"/>
      <c r="AG345" s="147"/>
      <c r="AH345" s="147"/>
      <c r="AI345" s="252"/>
      <c r="AJ345" s="252"/>
      <c r="AK345" s="428"/>
      <c r="AL345" s="146"/>
    </row>
    <row r="346" spans="2:38" x14ac:dyDescent="0.25">
      <c r="B346" s="9" t="s">
        <v>50</v>
      </c>
      <c r="C346" s="10" t="s">
        <v>391</v>
      </c>
      <c r="D346" s="11" t="s">
        <v>10</v>
      </c>
      <c r="E346" s="41">
        <f>'Kalkulace a Porovnání'!E346</f>
        <v>0</v>
      </c>
      <c r="F346" s="41">
        <f>'Kalkulace a Porovnání'!F346</f>
        <v>0</v>
      </c>
      <c r="G346" s="41">
        <f>'Kalkulace a Porovnání'!G346</f>
        <v>0</v>
      </c>
      <c r="H346" s="86">
        <f>'Kalkulace a Porovnání'!H346</f>
        <v>0</v>
      </c>
      <c r="K346" s="9" t="s">
        <v>50</v>
      </c>
      <c r="L346" s="10" t="s">
        <v>391</v>
      </c>
      <c r="M346" s="11" t="s">
        <v>10</v>
      </c>
      <c r="N346" s="41">
        <f>'Kalkulace a Porovnání'!N346</f>
        <v>0</v>
      </c>
      <c r="O346" s="41">
        <f>'Kalkulace a Porovnání'!O346</f>
        <v>0</v>
      </c>
      <c r="P346" s="41">
        <f>'Kalkulace a Porovnání'!P346</f>
        <v>0</v>
      </c>
      <c r="Q346" s="86">
        <f>'Kalkulace a Porovnání'!Q346</f>
        <v>0</v>
      </c>
      <c r="T346" s="9" t="s">
        <v>50</v>
      </c>
      <c r="U346" s="10" t="s">
        <v>391</v>
      </c>
      <c r="V346" s="11" t="s">
        <v>10</v>
      </c>
      <c r="W346" s="41">
        <f>'Kalkulace a Porovnání'!W346</f>
        <v>0</v>
      </c>
      <c r="X346" s="41">
        <f>'Kalkulace a Porovnání'!X346</f>
        <v>0</v>
      </c>
      <c r="Y346" s="41">
        <f>'Kalkulace a Porovnání'!Y346</f>
        <v>0</v>
      </c>
      <c r="Z346" s="41">
        <f>'Kalkulace a Porovnání'!Z346</f>
        <v>0</v>
      </c>
      <c r="AA346" s="41">
        <f>'Kalkulace a Porovnání'!AA346</f>
        <v>0</v>
      </c>
      <c r="AB346" s="86">
        <f>'Kalkulace a Porovnání'!AB346</f>
        <v>0</v>
      </c>
      <c r="AC346" s="146"/>
      <c r="AD346" s="428"/>
      <c r="AG346" s="147"/>
      <c r="AH346" s="147"/>
      <c r="AI346" s="252"/>
      <c r="AJ346" s="252"/>
      <c r="AK346" s="428"/>
      <c r="AL346" s="146"/>
    </row>
    <row r="347" spans="2:38" x14ac:dyDescent="0.25">
      <c r="B347" s="12" t="s">
        <v>389</v>
      </c>
      <c r="C347" s="13" t="s">
        <v>96</v>
      </c>
      <c r="D347" s="3" t="s">
        <v>10</v>
      </c>
      <c r="E347" s="329">
        <f>'Kalkulace a Porovnání'!E347</f>
        <v>0</v>
      </c>
      <c r="F347" s="329">
        <f>'Kalkulace a Porovnání'!F347</f>
        <v>0</v>
      </c>
      <c r="G347" s="329">
        <f>'Kalkulace a Porovnání'!G347</f>
        <v>0</v>
      </c>
      <c r="H347" s="330">
        <f>'Kalkulace a Porovnání'!H347</f>
        <v>0</v>
      </c>
      <c r="K347" s="12" t="s">
        <v>389</v>
      </c>
      <c r="L347" s="13" t="s">
        <v>96</v>
      </c>
      <c r="M347" s="3" t="s">
        <v>10</v>
      </c>
      <c r="N347" s="329">
        <f>'Kalkulace a Porovnání'!N347</f>
        <v>0</v>
      </c>
      <c r="O347" s="329">
        <f>'Kalkulace a Porovnání'!O347</f>
        <v>0</v>
      </c>
      <c r="P347" s="329">
        <f>'Kalkulace a Porovnání'!P347</f>
        <v>0</v>
      </c>
      <c r="Q347" s="330">
        <f>'Kalkulace a Porovnání'!Q347</f>
        <v>0</v>
      </c>
      <c r="T347" s="12" t="s">
        <v>389</v>
      </c>
      <c r="U347" s="13" t="s">
        <v>96</v>
      </c>
      <c r="V347" s="3" t="s">
        <v>10</v>
      </c>
      <c r="W347" s="329">
        <f>'Kalkulace a Porovnání'!W347</f>
        <v>0</v>
      </c>
      <c r="X347" s="329">
        <f>'Kalkulace a Porovnání'!X347</f>
        <v>0</v>
      </c>
      <c r="Y347" s="329">
        <f>'Kalkulace a Porovnání'!Y347</f>
        <v>0</v>
      </c>
      <c r="Z347" s="329">
        <f>'Kalkulace a Porovnání'!Z347</f>
        <v>0</v>
      </c>
      <c r="AA347" s="329">
        <f>'Kalkulace a Porovnání'!AA347</f>
        <v>0</v>
      </c>
      <c r="AB347" s="330">
        <f>'Kalkulace a Porovnání'!AB347</f>
        <v>0</v>
      </c>
      <c r="AC347" s="146"/>
      <c r="AD347" s="428"/>
      <c r="AG347" s="1120"/>
      <c r="AH347" s="1120"/>
      <c r="AI347" s="252"/>
      <c r="AJ347" s="252"/>
      <c r="AK347" s="428"/>
      <c r="AL347" s="146"/>
    </row>
    <row r="348" spans="2:38" x14ac:dyDescent="0.25">
      <c r="B348" s="12" t="s">
        <v>389</v>
      </c>
      <c r="C348" s="13" t="s">
        <v>97</v>
      </c>
      <c r="D348" s="3" t="s">
        <v>10</v>
      </c>
      <c r="E348" s="329">
        <f>'Kalkulace a Porovnání'!E348</f>
        <v>0</v>
      </c>
      <c r="F348" s="329">
        <f>'Kalkulace a Porovnání'!F348</f>
        <v>0</v>
      </c>
      <c r="G348" s="329">
        <f>'Kalkulace a Porovnání'!G348</f>
        <v>0</v>
      </c>
      <c r="H348" s="330">
        <f>'Kalkulace a Porovnání'!H348</f>
        <v>0</v>
      </c>
      <c r="K348" s="12" t="s">
        <v>389</v>
      </c>
      <c r="L348" s="13" t="s">
        <v>97</v>
      </c>
      <c r="M348" s="3" t="s">
        <v>10</v>
      </c>
      <c r="N348" s="329">
        <f>'Kalkulace a Porovnání'!N348</f>
        <v>0</v>
      </c>
      <c r="O348" s="329">
        <f>'Kalkulace a Porovnání'!O348</f>
        <v>0</v>
      </c>
      <c r="P348" s="329">
        <f>'Kalkulace a Porovnání'!P348</f>
        <v>0</v>
      </c>
      <c r="Q348" s="330">
        <f>'Kalkulace a Porovnání'!Q348</f>
        <v>0</v>
      </c>
      <c r="T348" s="12" t="s">
        <v>389</v>
      </c>
      <c r="U348" s="13" t="s">
        <v>97</v>
      </c>
      <c r="V348" s="3" t="s">
        <v>10</v>
      </c>
      <c r="W348" s="329">
        <f>'Kalkulace a Porovnání'!W348</f>
        <v>0</v>
      </c>
      <c r="X348" s="329">
        <f>'Kalkulace a Porovnání'!X348</f>
        <v>0</v>
      </c>
      <c r="Y348" s="329">
        <f>'Kalkulace a Porovnání'!Y348</f>
        <v>0</v>
      </c>
      <c r="Z348" s="329">
        <f>'Kalkulace a Porovnání'!Z348</f>
        <v>0</v>
      </c>
      <c r="AA348" s="329">
        <f>'Kalkulace a Porovnání'!AA348</f>
        <v>0</v>
      </c>
      <c r="AB348" s="330">
        <f>'Kalkulace a Porovnání'!AB348</f>
        <v>0</v>
      </c>
      <c r="AC348" s="146"/>
      <c r="AD348" s="428"/>
      <c r="AG348" s="1120"/>
      <c r="AH348" s="1120"/>
      <c r="AI348" s="252"/>
      <c r="AJ348" s="252"/>
      <c r="AK348" s="428"/>
      <c r="AL348" s="146"/>
    </row>
    <row r="349" spans="2:38" x14ac:dyDescent="0.25">
      <c r="B349" s="12" t="s">
        <v>51</v>
      </c>
      <c r="C349" s="13" t="s">
        <v>54</v>
      </c>
      <c r="D349" s="3" t="s">
        <v>55</v>
      </c>
      <c r="E349" s="331">
        <f>'Kalkulace a Porovnání'!E349</f>
        <v>0</v>
      </c>
      <c r="F349" s="331">
        <f>'Kalkulace a Porovnání'!F349</f>
        <v>0</v>
      </c>
      <c r="G349" s="331">
        <f>'Kalkulace a Porovnání'!G349</f>
        <v>0</v>
      </c>
      <c r="H349" s="332">
        <f>'Kalkulace a Porovnání'!H349</f>
        <v>0</v>
      </c>
      <c r="K349" s="12" t="s">
        <v>51</v>
      </c>
      <c r="L349" s="13" t="s">
        <v>54</v>
      </c>
      <c r="M349" s="3" t="s">
        <v>55</v>
      </c>
      <c r="N349" s="331">
        <f>'Kalkulace a Porovnání'!N349</f>
        <v>0</v>
      </c>
      <c r="O349" s="331">
        <f>'Kalkulace a Porovnání'!O349</f>
        <v>0</v>
      </c>
      <c r="P349" s="331">
        <f>'Kalkulace a Porovnání'!P349</f>
        <v>0</v>
      </c>
      <c r="Q349" s="332">
        <f>'Kalkulace a Porovnání'!Q349</f>
        <v>0</v>
      </c>
      <c r="T349" s="12" t="s">
        <v>51</v>
      </c>
      <c r="U349" s="13" t="s">
        <v>54</v>
      </c>
      <c r="V349" s="3" t="s">
        <v>55</v>
      </c>
      <c r="W349" s="331">
        <f>'Kalkulace a Porovnání'!W349</f>
        <v>0</v>
      </c>
      <c r="X349" s="331">
        <f>'Kalkulace a Porovnání'!X349</f>
        <v>0</v>
      </c>
      <c r="Y349" s="331">
        <f>'Kalkulace a Porovnání'!Y349</f>
        <v>0</v>
      </c>
      <c r="Z349" s="331">
        <f>'Kalkulace a Porovnání'!Z349</f>
        <v>0</v>
      </c>
      <c r="AA349" s="331">
        <f>'Kalkulace a Porovnání'!AA349</f>
        <v>0</v>
      </c>
      <c r="AB349" s="332">
        <f>'Kalkulace a Porovnání'!AB349</f>
        <v>0</v>
      </c>
      <c r="AC349" s="146"/>
      <c r="AD349" s="428"/>
      <c r="AG349" s="1119"/>
      <c r="AH349" s="1119"/>
      <c r="AI349" s="252"/>
      <c r="AJ349" s="252"/>
      <c r="AK349" s="428"/>
      <c r="AL349" s="146"/>
    </row>
    <row r="350" spans="2:38" x14ac:dyDescent="0.25">
      <c r="B350" s="12" t="s">
        <v>52</v>
      </c>
      <c r="C350" s="13" t="s">
        <v>57</v>
      </c>
      <c r="D350" s="3" t="s">
        <v>58</v>
      </c>
      <c r="E350" s="44">
        <f>'Kalkulace a Porovnání'!E350</f>
        <v>0</v>
      </c>
      <c r="F350" s="44">
        <f>'Kalkulace a Porovnání'!F350</f>
        <v>0</v>
      </c>
      <c r="G350" s="44">
        <f>'Kalkulace a Porovnání'!G350</f>
        <v>0</v>
      </c>
      <c r="H350" s="30">
        <f>'Kalkulace a Porovnání'!H350</f>
        <v>0</v>
      </c>
      <c r="K350" s="12" t="s">
        <v>52</v>
      </c>
      <c r="L350" s="13" t="s">
        <v>57</v>
      </c>
      <c r="M350" s="3" t="s">
        <v>58</v>
      </c>
      <c r="N350" s="44">
        <f>'Kalkulace a Porovnání'!N350</f>
        <v>0</v>
      </c>
      <c r="O350" s="44">
        <f>'Kalkulace a Porovnání'!O350</f>
        <v>0</v>
      </c>
      <c r="P350" s="44">
        <f>'Kalkulace a Porovnání'!P350</f>
        <v>0</v>
      </c>
      <c r="Q350" s="30">
        <f>'Kalkulace a Porovnání'!Q350</f>
        <v>0</v>
      </c>
      <c r="T350" s="12" t="s">
        <v>52</v>
      </c>
      <c r="U350" s="13" t="s">
        <v>57</v>
      </c>
      <c r="V350" s="3" t="s">
        <v>58</v>
      </c>
      <c r="W350" s="44">
        <f>'Kalkulace a Porovnání'!W350</f>
        <v>0</v>
      </c>
      <c r="X350" s="44">
        <f>'Kalkulace a Porovnání'!X350</f>
        <v>0</v>
      </c>
      <c r="Y350" s="44">
        <f>'Kalkulace a Porovnání'!Y350</f>
        <v>0</v>
      </c>
      <c r="Z350" s="44">
        <f>'Kalkulace a Porovnání'!Z350</f>
        <v>0</v>
      </c>
      <c r="AA350" s="44">
        <f>'Kalkulace a Porovnání'!AA350</f>
        <v>0</v>
      </c>
      <c r="AB350" s="30">
        <f>'Kalkulace a Porovnání'!AB350</f>
        <v>0</v>
      </c>
      <c r="AC350" s="146"/>
      <c r="AD350" s="428"/>
      <c r="AG350" s="1119"/>
      <c r="AH350" s="1119"/>
      <c r="AI350" s="252"/>
      <c r="AJ350" s="252"/>
      <c r="AK350" s="428"/>
      <c r="AL350" s="146"/>
    </row>
    <row r="351" spans="2:38" x14ac:dyDescent="0.25">
      <c r="B351" s="12" t="s">
        <v>53</v>
      </c>
      <c r="C351" s="13" t="s">
        <v>60</v>
      </c>
      <c r="D351" s="3" t="s">
        <v>58</v>
      </c>
      <c r="E351" s="44">
        <f>'Kalkulace a Porovnání'!E351</f>
        <v>0</v>
      </c>
      <c r="F351" s="44">
        <f>'Kalkulace a Porovnání'!F351</f>
        <v>0</v>
      </c>
      <c r="G351" s="44">
        <f>'Kalkulace a Porovnání'!G351</f>
        <v>0</v>
      </c>
      <c r="H351" s="30">
        <f>'Kalkulace a Porovnání'!H351</f>
        <v>0</v>
      </c>
      <c r="K351" s="12" t="s">
        <v>53</v>
      </c>
      <c r="L351" s="13" t="s">
        <v>60</v>
      </c>
      <c r="M351" s="3" t="s">
        <v>58</v>
      </c>
      <c r="N351" s="44">
        <f>'Kalkulace a Porovnání'!N351</f>
        <v>0</v>
      </c>
      <c r="O351" s="44">
        <f>'Kalkulace a Porovnání'!O351</f>
        <v>0</v>
      </c>
      <c r="P351" s="44">
        <f>'Kalkulace a Porovnání'!P351</f>
        <v>0</v>
      </c>
      <c r="Q351" s="30">
        <f>'Kalkulace a Porovnání'!Q351</f>
        <v>0</v>
      </c>
      <c r="T351" s="12" t="s">
        <v>53</v>
      </c>
      <c r="U351" s="13" t="s">
        <v>60</v>
      </c>
      <c r="V351" s="3" t="s">
        <v>58</v>
      </c>
      <c r="W351" s="44">
        <f>'Kalkulace a Porovnání'!W351</f>
        <v>0</v>
      </c>
      <c r="X351" s="44">
        <f>'Kalkulace a Porovnání'!X351</f>
        <v>0</v>
      </c>
      <c r="Y351" s="44">
        <f>'Kalkulace a Porovnání'!Y351</f>
        <v>0</v>
      </c>
      <c r="Z351" s="44">
        <f>'Kalkulace a Porovnání'!Z351</f>
        <v>0</v>
      </c>
      <c r="AA351" s="44">
        <f>'Kalkulace a Porovnání'!AA351</f>
        <v>0</v>
      </c>
      <c r="AB351" s="30">
        <f>'Kalkulace a Porovnání'!AB351</f>
        <v>0</v>
      </c>
      <c r="AC351" s="146"/>
      <c r="AD351" s="428"/>
      <c r="AG351" s="147"/>
      <c r="AH351" s="147"/>
      <c r="AI351" s="252"/>
      <c r="AJ351" s="252"/>
      <c r="AK351" s="428"/>
      <c r="AL351" s="146"/>
    </row>
    <row r="352" spans="2:38" x14ac:dyDescent="0.25">
      <c r="B352" s="12" t="s">
        <v>56</v>
      </c>
      <c r="C352" s="13" t="s">
        <v>62</v>
      </c>
      <c r="D352" s="3" t="s">
        <v>58</v>
      </c>
      <c r="E352" s="44">
        <f>'Kalkulace a Porovnání'!E352</f>
        <v>0</v>
      </c>
      <c r="F352" s="44">
        <f>'Kalkulace a Porovnání'!F352</f>
        <v>0</v>
      </c>
      <c r="G352" s="44">
        <f>'Kalkulace a Porovnání'!G352</f>
        <v>0</v>
      </c>
      <c r="H352" s="30">
        <f>'Kalkulace a Porovnání'!H352</f>
        <v>0</v>
      </c>
      <c r="K352" s="12" t="s">
        <v>56</v>
      </c>
      <c r="L352" s="13" t="s">
        <v>62</v>
      </c>
      <c r="M352" s="3" t="s">
        <v>58</v>
      </c>
      <c r="N352" s="44">
        <f>'Kalkulace a Porovnání'!N352</f>
        <v>0</v>
      </c>
      <c r="O352" s="44">
        <f>'Kalkulace a Porovnání'!O352</f>
        <v>0</v>
      </c>
      <c r="P352" s="44">
        <f>'Kalkulace a Porovnání'!P352</f>
        <v>0</v>
      </c>
      <c r="Q352" s="30">
        <f>'Kalkulace a Porovnání'!Q352</f>
        <v>0</v>
      </c>
      <c r="T352" s="12" t="s">
        <v>56</v>
      </c>
      <c r="U352" s="13" t="s">
        <v>62</v>
      </c>
      <c r="V352" s="3" t="s">
        <v>58</v>
      </c>
      <c r="W352" s="44">
        <f>'Kalkulace a Porovnání'!W352</f>
        <v>0</v>
      </c>
      <c r="X352" s="44">
        <f>'Kalkulace a Porovnání'!X352</f>
        <v>0</v>
      </c>
      <c r="Y352" s="44">
        <f>'Kalkulace a Porovnání'!Y352</f>
        <v>0</v>
      </c>
      <c r="Z352" s="44">
        <f>'Kalkulace a Porovnání'!Z352</f>
        <v>0</v>
      </c>
      <c r="AA352" s="44">
        <f>'Kalkulace a Porovnání'!AA352</f>
        <v>0</v>
      </c>
      <c r="AB352" s="30">
        <f>'Kalkulace a Porovnání'!AB352</f>
        <v>0</v>
      </c>
      <c r="AC352" s="146"/>
      <c r="AD352" s="428"/>
      <c r="AG352" s="430"/>
      <c r="AH352" s="430"/>
      <c r="AI352" s="252"/>
      <c r="AJ352" s="252"/>
      <c r="AK352" s="428"/>
      <c r="AL352" s="146"/>
    </row>
    <row r="353" spans="2:38" x14ac:dyDescent="0.25">
      <c r="B353" s="12" t="s">
        <v>59</v>
      </c>
      <c r="C353" s="13" t="s">
        <v>60</v>
      </c>
      <c r="D353" s="3" t="s">
        <v>58</v>
      </c>
      <c r="E353" s="44">
        <f>'Kalkulace a Porovnání'!E353</f>
        <v>0</v>
      </c>
      <c r="F353" s="44">
        <f>'Kalkulace a Porovnání'!F353</f>
        <v>0</v>
      </c>
      <c r="G353" s="44">
        <f>'Kalkulace a Porovnání'!G353</f>
        <v>0</v>
      </c>
      <c r="H353" s="30">
        <f>'Kalkulace a Porovnání'!H353</f>
        <v>0</v>
      </c>
      <c r="K353" s="12" t="s">
        <v>59</v>
      </c>
      <c r="L353" s="13" t="s">
        <v>60</v>
      </c>
      <c r="M353" s="3" t="s">
        <v>58</v>
      </c>
      <c r="N353" s="44">
        <f>'Kalkulace a Porovnání'!N353</f>
        <v>0</v>
      </c>
      <c r="O353" s="44">
        <f>'Kalkulace a Porovnání'!O353</f>
        <v>0</v>
      </c>
      <c r="P353" s="44">
        <f>'Kalkulace a Porovnání'!P353</f>
        <v>0</v>
      </c>
      <c r="Q353" s="30">
        <f>'Kalkulace a Porovnání'!Q353</f>
        <v>0</v>
      </c>
      <c r="T353" s="12" t="s">
        <v>59</v>
      </c>
      <c r="U353" s="13" t="s">
        <v>60</v>
      </c>
      <c r="V353" s="3" t="s">
        <v>58</v>
      </c>
      <c r="W353" s="44">
        <f>'Kalkulace a Porovnání'!W353</f>
        <v>0</v>
      </c>
      <c r="X353" s="44">
        <f>'Kalkulace a Porovnání'!X353</f>
        <v>0</v>
      </c>
      <c r="Y353" s="44">
        <f>'Kalkulace a Porovnání'!Y353</f>
        <v>0</v>
      </c>
      <c r="Z353" s="44">
        <f>'Kalkulace a Porovnání'!Z353</f>
        <v>0</v>
      </c>
      <c r="AA353" s="44">
        <f>'Kalkulace a Porovnání'!AA353</f>
        <v>0</v>
      </c>
      <c r="AB353" s="30">
        <f>'Kalkulace a Porovnání'!AB353</f>
        <v>0</v>
      </c>
      <c r="AC353" s="146"/>
      <c r="AD353" s="428"/>
      <c r="AG353" s="427"/>
      <c r="AH353" s="427"/>
      <c r="AI353" s="252"/>
      <c r="AJ353" s="252"/>
      <c r="AK353" s="428"/>
      <c r="AL353" s="146"/>
    </row>
    <row r="354" spans="2:38" x14ac:dyDescent="0.25">
      <c r="B354" s="12" t="s">
        <v>61</v>
      </c>
      <c r="C354" s="13" t="s">
        <v>65</v>
      </c>
      <c r="D354" s="3" t="s">
        <v>58</v>
      </c>
      <c r="E354" s="44">
        <f>'Kalkulace a Porovnání'!E354</f>
        <v>0</v>
      </c>
      <c r="F354" s="44">
        <f>'Kalkulace a Porovnání'!F354</f>
        <v>0</v>
      </c>
      <c r="G354" s="44">
        <f>'Kalkulace a Porovnání'!G354</f>
        <v>0</v>
      </c>
      <c r="H354" s="30">
        <f>'Kalkulace a Porovnání'!H354</f>
        <v>0</v>
      </c>
      <c r="K354" s="12" t="s">
        <v>61</v>
      </c>
      <c r="L354" s="13" t="s">
        <v>65</v>
      </c>
      <c r="M354" s="3" t="s">
        <v>58</v>
      </c>
      <c r="N354" s="44">
        <f>'Kalkulace a Porovnání'!N354</f>
        <v>0</v>
      </c>
      <c r="O354" s="44">
        <f>'Kalkulace a Porovnání'!O354</f>
        <v>0</v>
      </c>
      <c r="P354" s="44">
        <f>'Kalkulace a Porovnání'!P354</f>
        <v>0</v>
      </c>
      <c r="Q354" s="30">
        <f>'Kalkulace a Porovnání'!Q354</f>
        <v>0</v>
      </c>
      <c r="T354" s="12" t="s">
        <v>61</v>
      </c>
      <c r="U354" s="13" t="s">
        <v>65</v>
      </c>
      <c r="V354" s="3" t="s">
        <v>58</v>
      </c>
      <c r="W354" s="44">
        <f>'Kalkulace a Porovnání'!W354</f>
        <v>0</v>
      </c>
      <c r="X354" s="44">
        <f>'Kalkulace a Porovnání'!X354</f>
        <v>0</v>
      </c>
      <c r="Y354" s="44">
        <f>'Kalkulace a Porovnání'!Y354</f>
        <v>0</v>
      </c>
      <c r="Z354" s="44">
        <f>'Kalkulace a Porovnání'!Z354</f>
        <v>0</v>
      </c>
      <c r="AA354" s="44">
        <f>'Kalkulace a Porovnání'!AA354</f>
        <v>0</v>
      </c>
      <c r="AB354" s="30">
        <f>'Kalkulace a Porovnání'!AB354</f>
        <v>0</v>
      </c>
      <c r="AC354" s="146"/>
      <c r="AD354" s="428"/>
      <c r="AG354" s="147"/>
      <c r="AH354" s="147"/>
      <c r="AI354" s="430"/>
      <c r="AJ354" s="430"/>
      <c r="AK354" s="428"/>
      <c r="AL354" s="146"/>
    </row>
    <row r="355" spans="2:38" x14ac:dyDescent="0.25">
      <c r="B355" s="12" t="s">
        <v>63</v>
      </c>
      <c r="C355" s="13" t="s">
        <v>67</v>
      </c>
      <c r="D355" s="3" t="s">
        <v>58</v>
      </c>
      <c r="E355" s="44">
        <f>'Kalkulace a Porovnání'!E355</f>
        <v>0</v>
      </c>
      <c r="F355" s="44">
        <f>'Kalkulace a Porovnání'!F355</f>
        <v>0</v>
      </c>
      <c r="G355" s="44">
        <f>'Kalkulace a Porovnání'!G355</f>
        <v>0</v>
      </c>
      <c r="H355" s="30">
        <f>'Kalkulace a Porovnání'!H355</f>
        <v>0</v>
      </c>
      <c r="K355" s="12" t="s">
        <v>63</v>
      </c>
      <c r="L355" s="13" t="s">
        <v>67</v>
      </c>
      <c r="M355" s="3" t="s">
        <v>58</v>
      </c>
      <c r="N355" s="44">
        <f>'Kalkulace a Porovnání'!N355</f>
        <v>0</v>
      </c>
      <c r="O355" s="44">
        <f>'Kalkulace a Porovnání'!O355</f>
        <v>0</v>
      </c>
      <c r="P355" s="44">
        <f>'Kalkulace a Porovnání'!P355</f>
        <v>0</v>
      </c>
      <c r="Q355" s="30">
        <f>'Kalkulace a Porovnání'!Q355</f>
        <v>0</v>
      </c>
      <c r="T355" s="12" t="s">
        <v>63</v>
      </c>
      <c r="U355" s="13" t="s">
        <v>67</v>
      </c>
      <c r="V355" s="3" t="s">
        <v>58</v>
      </c>
      <c r="W355" s="44">
        <f>'Kalkulace a Porovnání'!W355</f>
        <v>0</v>
      </c>
      <c r="X355" s="44">
        <f>'Kalkulace a Porovnání'!X355</f>
        <v>0</v>
      </c>
      <c r="Y355" s="44">
        <f>'Kalkulace a Porovnání'!Y355</f>
        <v>0</v>
      </c>
      <c r="Z355" s="44">
        <f>'Kalkulace a Porovnání'!Z355</f>
        <v>0</v>
      </c>
      <c r="AA355" s="44">
        <f>'Kalkulace a Porovnání'!AA355</f>
        <v>0</v>
      </c>
      <c r="AB355" s="30">
        <f>'Kalkulace a Porovnání'!AB355</f>
        <v>0</v>
      </c>
      <c r="AC355" s="146"/>
      <c r="AD355" s="428"/>
      <c r="AG355" s="147"/>
      <c r="AH355" s="147"/>
      <c r="AI355" s="430"/>
      <c r="AJ355" s="430"/>
      <c r="AK355" s="428"/>
      <c r="AL355" s="146"/>
    </row>
    <row r="356" spans="2:38" x14ac:dyDescent="0.25">
      <c r="B356" s="12" t="s">
        <v>64</v>
      </c>
      <c r="C356" s="13" t="s">
        <v>68</v>
      </c>
      <c r="D356" s="3" t="s">
        <v>58</v>
      </c>
      <c r="E356" s="44">
        <f>'Kalkulace a Porovnání'!E356</f>
        <v>0</v>
      </c>
      <c r="F356" s="44">
        <f>'Kalkulace a Porovnání'!F356</f>
        <v>0</v>
      </c>
      <c r="G356" s="44">
        <f>'Kalkulace a Porovnání'!G356</f>
        <v>0</v>
      </c>
      <c r="H356" s="30">
        <f>'Kalkulace a Porovnání'!H356</f>
        <v>0</v>
      </c>
      <c r="K356" s="12" t="s">
        <v>64</v>
      </c>
      <c r="L356" s="13" t="s">
        <v>68</v>
      </c>
      <c r="M356" s="3" t="s">
        <v>58</v>
      </c>
      <c r="N356" s="44">
        <f>'Kalkulace a Porovnání'!N356</f>
        <v>0</v>
      </c>
      <c r="O356" s="44">
        <f>'Kalkulace a Porovnání'!O356</f>
        <v>0</v>
      </c>
      <c r="P356" s="44">
        <f>'Kalkulace a Porovnání'!P356</f>
        <v>0</v>
      </c>
      <c r="Q356" s="30">
        <f>'Kalkulace a Porovnání'!Q356</f>
        <v>0</v>
      </c>
      <c r="T356" s="12" t="s">
        <v>64</v>
      </c>
      <c r="U356" s="13" t="s">
        <v>68</v>
      </c>
      <c r="V356" s="3" t="s">
        <v>58</v>
      </c>
      <c r="W356" s="44">
        <f>'Kalkulace a Porovnání'!W356</f>
        <v>0</v>
      </c>
      <c r="X356" s="44">
        <f>'Kalkulace a Porovnání'!X356</f>
        <v>0</v>
      </c>
      <c r="Y356" s="44">
        <f>'Kalkulace a Porovnání'!Y356</f>
        <v>0</v>
      </c>
      <c r="Z356" s="44">
        <f>'Kalkulace a Porovnání'!Z356</f>
        <v>0</v>
      </c>
      <c r="AA356" s="44">
        <f>'Kalkulace a Porovnání'!AA356</f>
        <v>0</v>
      </c>
      <c r="AB356" s="30">
        <f>'Kalkulace a Porovnání'!AB356</f>
        <v>0</v>
      </c>
      <c r="AC356" s="146"/>
      <c r="AD356" s="428"/>
      <c r="AG356" s="147"/>
      <c r="AH356" s="147"/>
      <c r="AI356" s="430"/>
      <c r="AJ356" s="430"/>
      <c r="AK356" s="428"/>
      <c r="AL356" s="146"/>
    </row>
    <row r="357" spans="2:38" x14ac:dyDescent="0.25">
      <c r="B357" s="12" t="s">
        <v>66</v>
      </c>
      <c r="C357" s="13" t="s">
        <v>69</v>
      </c>
      <c r="D357" s="3" t="s">
        <v>58</v>
      </c>
      <c r="E357" s="44">
        <f>'Kalkulace a Porovnání'!E357</f>
        <v>0</v>
      </c>
      <c r="F357" s="44">
        <f>'Kalkulace a Porovnání'!F357</f>
        <v>0</v>
      </c>
      <c r="G357" s="44">
        <f>'Kalkulace a Porovnání'!G357</f>
        <v>0</v>
      </c>
      <c r="H357" s="30">
        <f>'Kalkulace a Porovnání'!H357</f>
        <v>0</v>
      </c>
      <c r="K357" s="12" t="s">
        <v>66</v>
      </c>
      <c r="L357" s="13" t="s">
        <v>69</v>
      </c>
      <c r="M357" s="3" t="s">
        <v>58</v>
      </c>
      <c r="N357" s="44">
        <f>'Kalkulace a Porovnání'!N357</f>
        <v>0</v>
      </c>
      <c r="O357" s="44">
        <f>'Kalkulace a Porovnání'!O357</f>
        <v>0</v>
      </c>
      <c r="P357" s="44">
        <f>'Kalkulace a Porovnání'!P357</f>
        <v>0</v>
      </c>
      <c r="Q357" s="30">
        <f>'Kalkulace a Porovnání'!Q357</f>
        <v>0</v>
      </c>
      <c r="T357" s="12" t="s">
        <v>66</v>
      </c>
      <c r="U357" s="13" t="s">
        <v>69</v>
      </c>
      <c r="V357" s="3" t="s">
        <v>58</v>
      </c>
      <c r="W357" s="44">
        <f>'Kalkulace a Porovnání'!W357</f>
        <v>0</v>
      </c>
      <c r="X357" s="44">
        <f>'Kalkulace a Porovnání'!X357</f>
        <v>0</v>
      </c>
      <c r="Y357" s="44">
        <f>'Kalkulace a Porovnání'!Y357</f>
        <v>0</v>
      </c>
      <c r="Z357" s="44">
        <f>'Kalkulace a Porovnání'!Z357</f>
        <v>0</v>
      </c>
      <c r="AA357" s="44">
        <f>'Kalkulace a Porovnání'!AA357</f>
        <v>0</v>
      </c>
      <c r="AB357" s="30">
        <f>'Kalkulace a Porovnání'!AB357</f>
        <v>0</v>
      </c>
      <c r="AC357" s="146"/>
      <c r="AD357" s="428"/>
      <c r="AG357" s="314"/>
      <c r="AH357" s="314"/>
      <c r="AI357" s="252"/>
      <c r="AJ357" s="252"/>
      <c r="AK357" s="428"/>
      <c r="AL357" s="146"/>
    </row>
    <row r="358" spans="2:38" x14ac:dyDescent="0.25">
      <c r="B358" s="1"/>
      <c r="C358" s="1"/>
      <c r="D358" s="1"/>
      <c r="E358" s="1"/>
      <c r="F358" s="1"/>
      <c r="G358" s="1"/>
      <c r="H358" s="1"/>
      <c r="K358" s="1"/>
      <c r="L358" s="1"/>
      <c r="M358" s="1"/>
      <c r="N358" s="1"/>
      <c r="O358" s="1"/>
      <c r="P358" s="1"/>
      <c r="Q358" s="1"/>
      <c r="T358" s="1"/>
      <c r="U358" s="1"/>
      <c r="V358" s="1"/>
      <c r="W358" s="1"/>
      <c r="X358" s="1"/>
      <c r="Y358" s="1"/>
      <c r="Z358" s="1"/>
      <c r="AA358" s="1"/>
      <c r="AB358" s="1"/>
      <c r="AC358" s="146"/>
      <c r="AD358" s="428"/>
      <c r="AG358" s="428"/>
      <c r="AH358" s="428"/>
      <c r="AI358" s="428"/>
      <c r="AJ358" s="428"/>
      <c r="AK358" s="428"/>
      <c r="AL358" s="146"/>
    </row>
    <row r="359" spans="2:38" x14ac:dyDescent="0.25">
      <c r="B359" s="1052" t="s">
        <v>5</v>
      </c>
      <c r="C359" s="884" t="s">
        <v>70</v>
      </c>
      <c r="D359" s="868"/>
      <c r="E359" s="1082"/>
      <c r="F359" s="1083"/>
      <c r="G359" s="868"/>
      <c r="H359" s="869"/>
      <c r="K359" s="1052" t="s">
        <v>5</v>
      </c>
      <c r="L359" s="884" t="s">
        <v>70</v>
      </c>
      <c r="M359" s="868"/>
      <c r="N359" s="1082"/>
      <c r="O359" s="1083"/>
      <c r="P359" s="868"/>
      <c r="Q359" s="869"/>
      <c r="T359" s="1098" t="s">
        <v>5</v>
      </c>
      <c r="U359" s="884" t="s">
        <v>70</v>
      </c>
      <c r="V359" s="868"/>
      <c r="W359" s="1082"/>
      <c r="X359" s="1082"/>
      <c r="Y359" s="1083"/>
      <c r="Z359" s="868"/>
      <c r="AA359" s="868"/>
      <c r="AB359" s="869"/>
      <c r="AC359" s="146"/>
      <c r="AD359" s="428"/>
      <c r="AG359" s="428"/>
      <c r="AH359" s="428"/>
      <c r="AI359" s="428"/>
      <c r="AJ359" s="428"/>
      <c r="AK359" s="428"/>
      <c r="AL359" s="146"/>
    </row>
    <row r="360" spans="2:38" x14ac:dyDescent="0.25">
      <c r="B360" s="1053"/>
      <c r="C360" s="1052" t="s">
        <v>71</v>
      </c>
      <c r="D360" s="1065" t="s">
        <v>133</v>
      </c>
      <c r="E360" s="1085" t="s">
        <v>102</v>
      </c>
      <c r="F360" s="1086"/>
      <c r="G360" s="85" t="s">
        <v>3</v>
      </c>
      <c r="H360" s="23" t="s">
        <v>4</v>
      </c>
      <c r="K360" s="1053"/>
      <c r="L360" s="5" t="s">
        <v>71</v>
      </c>
      <c r="M360" s="1065" t="s">
        <v>133</v>
      </c>
      <c r="N360" s="1085" t="s">
        <v>102</v>
      </c>
      <c r="O360" s="1086"/>
      <c r="P360" s="85" t="s">
        <v>3</v>
      </c>
      <c r="Q360" s="23" t="s">
        <v>4</v>
      </c>
      <c r="T360" s="1099"/>
      <c r="U360" s="1052" t="s">
        <v>71</v>
      </c>
      <c r="V360" s="1065" t="s">
        <v>133</v>
      </c>
      <c r="W360" s="1085" t="s">
        <v>102</v>
      </c>
      <c r="X360" s="1086"/>
      <c r="Y360" s="1085" t="s">
        <v>3</v>
      </c>
      <c r="Z360" s="1101"/>
      <c r="AA360" s="1102" t="s">
        <v>4</v>
      </c>
      <c r="AB360" s="1102"/>
      <c r="AC360" s="146"/>
      <c r="AD360" s="428"/>
      <c r="AG360" s="428"/>
      <c r="AH360" s="428"/>
      <c r="AI360" s="428"/>
      <c r="AJ360" s="428"/>
      <c r="AK360" s="428"/>
      <c r="AL360" s="146"/>
    </row>
    <row r="361" spans="2:38" x14ac:dyDescent="0.25">
      <c r="B361" s="1054"/>
      <c r="C361" s="1054"/>
      <c r="D361" s="1084"/>
      <c r="E361" s="1087"/>
      <c r="F361" s="1088"/>
      <c r="G361" s="26" t="s">
        <v>7</v>
      </c>
      <c r="H361" s="24" t="s">
        <v>7</v>
      </c>
      <c r="K361" s="1054"/>
      <c r="L361" s="8"/>
      <c r="M361" s="1084"/>
      <c r="N361" s="1087"/>
      <c r="O361" s="1088"/>
      <c r="P361" s="26" t="s">
        <v>7</v>
      </c>
      <c r="Q361" s="24" t="s">
        <v>7</v>
      </c>
      <c r="T361" s="1100"/>
      <c r="U361" s="1054"/>
      <c r="V361" s="1084"/>
      <c r="W361" s="1087"/>
      <c r="X361" s="1088"/>
      <c r="Y361" s="37" t="s">
        <v>148</v>
      </c>
      <c r="Z361" s="37" t="s">
        <v>7</v>
      </c>
      <c r="AA361" s="37" t="s">
        <v>148</v>
      </c>
      <c r="AB361" s="37" t="s">
        <v>7</v>
      </c>
      <c r="AC361" s="146"/>
      <c r="AD361" s="428"/>
      <c r="AG361" s="428"/>
      <c r="AH361" s="428"/>
      <c r="AI361" s="428"/>
      <c r="AJ361" s="428"/>
      <c r="AK361" s="428"/>
      <c r="AL361" s="146"/>
    </row>
    <row r="362" spans="2:38" x14ac:dyDescent="0.25">
      <c r="B362" s="11">
        <v>1</v>
      </c>
      <c r="C362" s="11">
        <v>2</v>
      </c>
      <c r="D362" s="11" t="s">
        <v>95</v>
      </c>
      <c r="E362" s="873" t="s">
        <v>99</v>
      </c>
      <c r="F362" s="874"/>
      <c r="G362" s="11" t="s">
        <v>100</v>
      </c>
      <c r="H362" s="22" t="s">
        <v>101</v>
      </c>
      <c r="K362" s="11">
        <v>1</v>
      </c>
      <c r="L362" s="11">
        <v>2</v>
      </c>
      <c r="M362" s="11" t="s">
        <v>95</v>
      </c>
      <c r="N362" s="873" t="s">
        <v>99</v>
      </c>
      <c r="O362" s="874"/>
      <c r="P362" s="11" t="s">
        <v>100</v>
      </c>
      <c r="Q362" s="22" t="s">
        <v>101</v>
      </c>
      <c r="T362" s="11">
        <v>1</v>
      </c>
      <c r="U362" s="11">
        <v>2</v>
      </c>
      <c r="V362" s="11" t="s">
        <v>95</v>
      </c>
      <c r="W362" s="1096" t="s">
        <v>99</v>
      </c>
      <c r="X362" s="1097"/>
      <c r="Y362" s="11" t="s">
        <v>153</v>
      </c>
      <c r="Z362" s="11" t="s">
        <v>100</v>
      </c>
      <c r="AA362" s="11" t="s">
        <v>152</v>
      </c>
      <c r="AB362" s="22" t="s">
        <v>101</v>
      </c>
      <c r="AC362" s="146"/>
      <c r="AD362" s="428"/>
      <c r="AG362" s="428"/>
      <c r="AH362" s="428"/>
      <c r="AI362" s="428"/>
      <c r="AJ362" s="428"/>
      <c r="AK362" s="428"/>
      <c r="AL362" s="146"/>
    </row>
    <row r="363" spans="2:38" x14ac:dyDescent="0.25">
      <c r="B363" s="12" t="s">
        <v>72</v>
      </c>
      <c r="C363" s="13" t="s">
        <v>104</v>
      </c>
      <c r="D363" s="13" t="s">
        <v>73</v>
      </c>
      <c r="E363" s="875" t="s">
        <v>403</v>
      </c>
      <c r="F363" s="859"/>
      <c r="G363" s="138">
        <f>'Kalkulace a Porovnání'!G363</f>
        <v>0</v>
      </c>
      <c r="H363" s="138">
        <f>'Kalkulace a Porovnání'!H363</f>
        <v>0</v>
      </c>
      <c r="K363" s="12" t="s">
        <v>72</v>
      </c>
      <c r="L363" s="13" t="s">
        <v>104</v>
      </c>
      <c r="M363" s="13" t="s">
        <v>73</v>
      </c>
      <c r="N363" s="875" t="s">
        <v>403</v>
      </c>
      <c r="O363" s="859"/>
      <c r="P363" s="138">
        <f>'Kalkulace a Porovnání'!P363</f>
        <v>0</v>
      </c>
      <c r="Q363" s="138">
        <f>'Kalkulace a Porovnání'!Q363</f>
        <v>0</v>
      </c>
      <c r="T363" s="12" t="s">
        <v>72</v>
      </c>
      <c r="U363" s="13" t="s">
        <v>104</v>
      </c>
      <c r="V363" s="13" t="s">
        <v>73</v>
      </c>
      <c r="W363" s="875" t="s">
        <v>403</v>
      </c>
      <c r="X363" s="859"/>
      <c r="Y363" s="138">
        <f>'Kalkulace a Porovnání'!Y363</f>
        <v>0</v>
      </c>
      <c r="Z363" s="138">
        <f>'Kalkulace a Porovnání'!Z363</f>
        <v>0</v>
      </c>
      <c r="AA363" s="138">
        <f>'Kalkulace a Porovnání'!AA363</f>
        <v>0</v>
      </c>
      <c r="AB363" s="138">
        <f>'Kalkulace a Porovnání'!AB363</f>
        <v>0</v>
      </c>
      <c r="AC363" s="146"/>
      <c r="AD363" s="428"/>
      <c r="AG363" s="428"/>
      <c r="AH363" s="428"/>
      <c r="AI363" s="428"/>
      <c r="AJ363" s="428"/>
      <c r="AK363" s="428"/>
      <c r="AL363" s="146"/>
    </row>
    <row r="364" spans="2:38" x14ac:dyDescent="0.25">
      <c r="B364" s="12" t="s">
        <v>74</v>
      </c>
      <c r="C364" s="13" t="s">
        <v>358</v>
      </c>
      <c r="D364" s="13" t="s">
        <v>10</v>
      </c>
      <c r="E364" s="858" t="s">
        <v>404</v>
      </c>
      <c r="F364" s="870"/>
      <c r="G364" s="138">
        <f>G365+G366</f>
        <v>0</v>
      </c>
      <c r="H364" s="138">
        <f>H365+H366</f>
        <v>0</v>
      </c>
      <c r="K364" s="12" t="s">
        <v>74</v>
      </c>
      <c r="L364" s="13" t="s">
        <v>358</v>
      </c>
      <c r="M364" s="13" t="s">
        <v>10</v>
      </c>
      <c r="N364" s="858" t="s">
        <v>404</v>
      </c>
      <c r="O364" s="870"/>
      <c r="P364" s="138">
        <f>P365+P366</f>
        <v>0</v>
      </c>
      <c r="Q364" s="138">
        <f>Q365+Q366</f>
        <v>0</v>
      </c>
      <c r="T364" s="12" t="s">
        <v>74</v>
      </c>
      <c r="U364" s="13" t="s">
        <v>358</v>
      </c>
      <c r="V364" s="13" t="s">
        <v>10</v>
      </c>
      <c r="W364" s="858" t="s">
        <v>404</v>
      </c>
      <c r="X364" s="870"/>
      <c r="Y364" s="138">
        <f t="shared" ref="Y364:AB364" si="4">Y365+Y366</f>
        <v>0</v>
      </c>
      <c r="Z364" s="138">
        <f t="shared" si="4"/>
        <v>0</v>
      </c>
      <c r="AA364" s="138">
        <f t="shared" si="4"/>
        <v>0</v>
      </c>
      <c r="AB364" s="138">
        <f t="shared" si="4"/>
        <v>0</v>
      </c>
      <c r="AC364" s="146"/>
      <c r="AD364" s="428"/>
      <c r="AG364" s="428"/>
      <c r="AH364" s="428"/>
      <c r="AI364" s="428"/>
      <c r="AJ364" s="428"/>
      <c r="AK364" s="428"/>
      <c r="AL364" s="146"/>
    </row>
    <row r="365" spans="2:38" x14ac:dyDescent="0.25">
      <c r="B365" s="12" t="s">
        <v>352</v>
      </c>
      <c r="C365" s="13" t="s">
        <v>359</v>
      </c>
      <c r="D365" s="13" t="s">
        <v>10</v>
      </c>
      <c r="E365" s="871"/>
      <c r="F365" s="872"/>
      <c r="G365" s="138">
        <f>'Kalkulace a Porovnání'!G365</f>
        <v>0</v>
      </c>
      <c r="H365" s="138">
        <f>'Kalkulace a Porovnání'!H365</f>
        <v>0</v>
      </c>
      <c r="K365" s="12" t="s">
        <v>352</v>
      </c>
      <c r="L365" s="13" t="s">
        <v>359</v>
      </c>
      <c r="M365" s="13" t="s">
        <v>10</v>
      </c>
      <c r="N365" s="871"/>
      <c r="O365" s="872"/>
      <c r="P365" s="138">
        <f>'Kalkulace a Porovnání'!P365</f>
        <v>0</v>
      </c>
      <c r="Q365" s="138">
        <f>'Kalkulace a Porovnání'!Q365</f>
        <v>0</v>
      </c>
      <c r="T365" s="12" t="s">
        <v>352</v>
      </c>
      <c r="U365" s="13" t="s">
        <v>359</v>
      </c>
      <c r="V365" s="13" t="s">
        <v>10</v>
      </c>
      <c r="W365" s="871"/>
      <c r="X365" s="872"/>
      <c r="Y365" s="138">
        <f>'Kalkulace a Porovnání'!Y365</f>
        <v>0</v>
      </c>
      <c r="Z365" s="138">
        <f>'Kalkulace a Porovnání'!Z365</f>
        <v>0</v>
      </c>
      <c r="AA365" s="138">
        <f>'Kalkulace a Porovnání'!AA365</f>
        <v>0</v>
      </c>
      <c r="AB365" s="138">
        <f>'Kalkulace a Porovnání'!AB365</f>
        <v>0</v>
      </c>
      <c r="AC365" s="146"/>
      <c r="AD365" s="428"/>
      <c r="AG365" s="428"/>
      <c r="AH365" s="428"/>
      <c r="AI365" s="428"/>
      <c r="AJ365" s="428"/>
      <c r="AK365" s="428"/>
      <c r="AL365" s="146"/>
    </row>
    <row r="366" spans="2:38" x14ac:dyDescent="0.25">
      <c r="B366" s="12" t="s">
        <v>361</v>
      </c>
      <c r="C366" s="13" t="s">
        <v>360</v>
      </c>
      <c r="D366" s="13" t="s">
        <v>10</v>
      </c>
      <c r="E366" s="884"/>
      <c r="F366" s="869"/>
      <c r="G366" s="138">
        <f>'Kalkulace a Porovnání'!G366</f>
        <v>0</v>
      </c>
      <c r="H366" s="138">
        <f>'Kalkulace a Porovnání'!H366</f>
        <v>0</v>
      </c>
      <c r="K366" s="12" t="s">
        <v>361</v>
      </c>
      <c r="L366" s="13" t="s">
        <v>360</v>
      </c>
      <c r="M366" s="13" t="s">
        <v>10</v>
      </c>
      <c r="N366" s="884"/>
      <c r="O366" s="869"/>
      <c r="P366" s="138">
        <f>'Kalkulace a Porovnání'!P366</f>
        <v>0</v>
      </c>
      <c r="Q366" s="138">
        <f>'Kalkulace a Porovnání'!Q366</f>
        <v>0</v>
      </c>
      <c r="T366" s="12" t="s">
        <v>361</v>
      </c>
      <c r="U366" s="13" t="s">
        <v>360</v>
      </c>
      <c r="V366" s="13" t="s">
        <v>10</v>
      </c>
      <c r="W366" s="884"/>
      <c r="X366" s="869"/>
      <c r="Y366" s="138">
        <f>'Kalkulace a Porovnání'!Y366</f>
        <v>0</v>
      </c>
      <c r="Z366" s="138">
        <f>'Kalkulace a Porovnání'!Z366</f>
        <v>0</v>
      </c>
      <c r="AA366" s="138">
        <f>'Kalkulace a Porovnání'!AA366</f>
        <v>0</v>
      </c>
      <c r="AB366" s="138">
        <f>'Kalkulace a Porovnání'!AB366</f>
        <v>0</v>
      </c>
      <c r="AC366" s="146"/>
      <c r="AD366" s="428"/>
      <c r="AG366" s="428"/>
      <c r="AH366" s="428"/>
      <c r="AI366" s="428"/>
      <c r="AJ366" s="428"/>
      <c r="AK366" s="428"/>
      <c r="AL366" s="146"/>
    </row>
    <row r="367" spans="2:38" x14ac:dyDescent="0.25">
      <c r="B367" s="12" t="s">
        <v>75</v>
      </c>
      <c r="C367" s="13" t="s">
        <v>396</v>
      </c>
      <c r="D367" s="13" t="s">
        <v>10</v>
      </c>
      <c r="E367" s="858" t="s">
        <v>405</v>
      </c>
      <c r="F367" s="859"/>
      <c r="G367" s="341">
        <f>'Kalkulace a Porovnání'!G367</f>
        <v>0</v>
      </c>
      <c r="H367" s="341">
        <f>'Kalkulace a Porovnání'!H367</f>
        <v>0</v>
      </c>
      <c r="K367" s="12" t="s">
        <v>75</v>
      </c>
      <c r="L367" s="13" t="s">
        <v>396</v>
      </c>
      <c r="M367" s="13" t="s">
        <v>10</v>
      </c>
      <c r="N367" s="858" t="s">
        <v>405</v>
      </c>
      <c r="O367" s="859"/>
      <c r="P367" s="341">
        <f>'Kalkulace a Porovnání'!P367</f>
        <v>0</v>
      </c>
      <c r="Q367" s="341">
        <f>'Kalkulace a Porovnání'!Q367</f>
        <v>0</v>
      </c>
      <c r="T367" s="12" t="s">
        <v>75</v>
      </c>
      <c r="U367" s="13" t="s">
        <v>396</v>
      </c>
      <c r="V367" s="13" t="s">
        <v>10</v>
      </c>
      <c r="W367" s="858" t="s">
        <v>405</v>
      </c>
      <c r="X367" s="859"/>
      <c r="Y367" s="341">
        <f>'Kalkulace a Porovnání'!Y367</f>
        <v>0</v>
      </c>
      <c r="Z367" s="341">
        <f>'Kalkulace a Porovnání'!Z367</f>
        <v>0</v>
      </c>
      <c r="AA367" s="341">
        <f>'Kalkulace a Porovnání'!AA367</f>
        <v>0</v>
      </c>
      <c r="AB367" s="341">
        <f>'Kalkulace a Porovnání'!AB367</f>
        <v>0</v>
      </c>
      <c r="AC367" s="146"/>
      <c r="AD367" s="428"/>
      <c r="AG367" s="428"/>
      <c r="AH367" s="428"/>
      <c r="AI367" s="428"/>
      <c r="AJ367" s="428"/>
      <c r="AK367" s="428"/>
      <c r="AL367" s="146"/>
    </row>
    <row r="368" spans="2:38" x14ac:dyDescent="0.25">
      <c r="B368" s="12" t="s">
        <v>76</v>
      </c>
      <c r="C368" s="13" t="s">
        <v>373</v>
      </c>
      <c r="D368" s="13" t="s">
        <v>10</v>
      </c>
      <c r="E368" s="858"/>
      <c r="F368" s="859"/>
      <c r="G368" s="341">
        <f>'Kalkulace a Porovnání'!G368</f>
        <v>0</v>
      </c>
      <c r="H368" s="341">
        <f>'Kalkulace a Porovnání'!H368</f>
        <v>0</v>
      </c>
      <c r="K368" s="12" t="s">
        <v>76</v>
      </c>
      <c r="L368" s="13" t="s">
        <v>373</v>
      </c>
      <c r="M368" s="13" t="s">
        <v>10</v>
      </c>
      <c r="N368" s="858"/>
      <c r="O368" s="859"/>
      <c r="P368" s="341">
        <f>'Kalkulace a Porovnání'!P368</f>
        <v>0</v>
      </c>
      <c r="Q368" s="341">
        <f>'Kalkulace a Porovnání'!Q368</f>
        <v>0</v>
      </c>
      <c r="T368" s="12" t="s">
        <v>76</v>
      </c>
      <c r="U368" s="13" t="s">
        <v>373</v>
      </c>
      <c r="V368" s="13" t="s">
        <v>10</v>
      </c>
      <c r="W368" s="858"/>
      <c r="X368" s="859"/>
      <c r="Y368" s="341">
        <f>'Kalkulace a Porovnání'!Y368</f>
        <v>2.3999896640999999E-2</v>
      </c>
      <c r="Z368" s="341">
        <f>'Kalkulace a Porovnání'!Z368</f>
        <v>0</v>
      </c>
      <c r="AA368" s="341">
        <f>'Kalkulace a Porovnání'!AA368</f>
        <v>0.100000278</v>
      </c>
      <c r="AB368" s="341">
        <f>'Kalkulace a Porovnání'!AB368</f>
        <v>0</v>
      </c>
      <c r="AC368" s="146"/>
      <c r="AD368" s="428"/>
      <c r="AG368" s="428"/>
      <c r="AH368" s="428"/>
      <c r="AI368" s="428"/>
      <c r="AJ368" s="428"/>
      <c r="AK368" s="428"/>
      <c r="AL368" s="146"/>
    </row>
    <row r="369" spans="2:38" x14ac:dyDescent="0.25">
      <c r="B369" s="12" t="s">
        <v>78</v>
      </c>
      <c r="C369" s="21" t="s">
        <v>402</v>
      </c>
      <c r="D369" s="13" t="s">
        <v>77</v>
      </c>
      <c r="E369" s="875" t="s">
        <v>406</v>
      </c>
      <c r="F369" s="859"/>
      <c r="G369" s="138">
        <f>'Kalkulace a Porovnání'!G369</f>
        <v>0</v>
      </c>
      <c r="H369" s="138">
        <f>'Kalkulace a Porovnání'!H369</f>
        <v>0</v>
      </c>
      <c r="K369" s="12" t="s">
        <v>78</v>
      </c>
      <c r="L369" s="21" t="s">
        <v>402</v>
      </c>
      <c r="M369" s="13" t="s">
        <v>77</v>
      </c>
      <c r="N369" s="875" t="s">
        <v>406</v>
      </c>
      <c r="O369" s="859"/>
      <c r="P369" s="138">
        <f>'Kalkulace a Porovnání'!P369</f>
        <v>0</v>
      </c>
      <c r="Q369" s="138">
        <f>'Kalkulace a Porovnání'!Q369</f>
        <v>0</v>
      </c>
      <c r="T369" s="12" t="s">
        <v>78</v>
      </c>
      <c r="U369" s="21" t="s">
        <v>402</v>
      </c>
      <c r="V369" s="13" t="s">
        <v>77</v>
      </c>
      <c r="W369" s="875" t="s">
        <v>406</v>
      </c>
      <c r="X369" s="859"/>
      <c r="Y369" s="138">
        <f>'Kalkulace a Porovnání'!Y369</f>
        <v>0</v>
      </c>
      <c r="Z369" s="138">
        <f>'Kalkulace a Porovnání'!Z369</f>
        <v>0</v>
      </c>
      <c r="AA369" s="138">
        <f>'Kalkulace a Porovnání'!AA369</f>
        <v>0</v>
      </c>
      <c r="AB369" s="138">
        <f>'Kalkulace a Porovnání'!AB369</f>
        <v>0</v>
      </c>
      <c r="AC369" s="146"/>
      <c r="AD369" s="428"/>
      <c r="AG369" s="428"/>
      <c r="AH369" s="428"/>
      <c r="AI369" s="428"/>
      <c r="AJ369" s="428"/>
      <c r="AK369" s="428"/>
      <c r="AL369" s="146"/>
    </row>
    <row r="370" spans="2:38" x14ac:dyDescent="0.25">
      <c r="B370" s="12" t="s">
        <v>79</v>
      </c>
      <c r="C370" s="21" t="s">
        <v>408</v>
      </c>
      <c r="D370" s="13" t="s">
        <v>10</v>
      </c>
      <c r="E370" s="858" t="s">
        <v>407</v>
      </c>
      <c r="F370" s="859"/>
      <c r="G370" s="341">
        <f>'Kalkulace a Porovnání'!G370</f>
        <v>0</v>
      </c>
      <c r="H370" s="341">
        <f>'Kalkulace a Porovnání'!H370</f>
        <v>0</v>
      </c>
      <c r="K370" s="12" t="s">
        <v>79</v>
      </c>
      <c r="L370" s="21" t="s">
        <v>408</v>
      </c>
      <c r="M370" s="13" t="s">
        <v>10</v>
      </c>
      <c r="N370" s="858" t="s">
        <v>407</v>
      </c>
      <c r="O370" s="859"/>
      <c r="P370" s="341">
        <f>'Kalkulace a Porovnání'!P370</f>
        <v>0</v>
      </c>
      <c r="Q370" s="341">
        <f>'Kalkulace a Porovnání'!Q370</f>
        <v>0</v>
      </c>
      <c r="T370" s="12" t="s">
        <v>79</v>
      </c>
      <c r="U370" s="21" t="s">
        <v>408</v>
      </c>
      <c r="V370" s="13" t="s">
        <v>10</v>
      </c>
      <c r="W370" s="858" t="s">
        <v>407</v>
      </c>
      <c r="X370" s="859"/>
      <c r="Y370" s="341">
        <f>'Kalkulace a Porovnání'!Y370</f>
        <v>0</v>
      </c>
      <c r="Z370" s="341">
        <f>'Kalkulace a Porovnání'!Z370</f>
        <v>0</v>
      </c>
      <c r="AA370" s="341">
        <f>'Kalkulace a Porovnání'!AA370</f>
        <v>0</v>
      </c>
      <c r="AB370" s="341">
        <f>'Kalkulace a Porovnání'!AB370</f>
        <v>0</v>
      </c>
      <c r="AC370" s="146"/>
      <c r="AD370" s="428"/>
      <c r="AG370" s="428"/>
      <c r="AH370" s="428"/>
      <c r="AI370" s="428"/>
      <c r="AJ370" s="428"/>
      <c r="AK370" s="428"/>
      <c r="AL370" s="146"/>
    </row>
    <row r="371" spans="2:38" x14ac:dyDescent="0.25">
      <c r="B371" s="12" t="s">
        <v>80</v>
      </c>
      <c r="C371" s="13" t="s">
        <v>395</v>
      </c>
      <c r="D371" s="13" t="s">
        <v>10</v>
      </c>
      <c r="E371" s="858" t="s">
        <v>409</v>
      </c>
      <c r="F371" s="870"/>
      <c r="G371" s="341">
        <f>'Kalkulace a Porovnání'!G372</f>
        <v>0</v>
      </c>
      <c r="H371" s="341">
        <f>'Kalkulace a Porovnání'!H372</f>
        <v>0</v>
      </c>
      <c r="K371" s="12" t="s">
        <v>80</v>
      </c>
      <c r="L371" s="13" t="s">
        <v>395</v>
      </c>
      <c r="M371" s="13" t="s">
        <v>10</v>
      </c>
      <c r="N371" s="858" t="s">
        <v>409</v>
      </c>
      <c r="O371" s="870"/>
      <c r="P371" s="341">
        <f>'Kalkulace a Porovnání'!P372</f>
        <v>0</v>
      </c>
      <c r="Q371" s="341">
        <f>'Kalkulace a Porovnání'!Q372</f>
        <v>0</v>
      </c>
      <c r="T371" s="12" t="s">
        <v>80</v>
      </c>
      <c r="U371" s="13" t="s">
        <v>395</v>
      </c>
      <c r="V371" s="13" t="s">
        <v>10</v>
      </c>
      <c r="W371" s="858" t="s">
        <v>409</v>
      </c>
      <c r="X371" s="870"/>
      <c r="Y371" s="341">
        <f>'Kalkulace a Porovnání'!Y372</f>
        <v>2.3999896640999999E-2</v>
      </c>
      <c r="Z371" s="341">
        <f>'Kalkulace a Porovnání'!Z372</f>
        <v>0</v>
      </c>
      <c r="AA371" s="341">
        <f>'Kalkulace a Porovnání'!AA372</f>
        <v>0.100000278</v>
      </c>
      <c r="AB371" s="341">
        <f>'Kalkulace a Porovnání'!AB372</f>
        <v>0</v>
      </c>
      <c r="AC371" s="146"/>
      <c r="AD371" s="428"/>
      <c r="AG371" s="428"/>
      <c r="AH371" s="428"/>
      <c r="AI371" s="428"/>
      <c r="AJ371" s="428"/>
      <c r="AK371" s="428"/>
      <c r="AL371" s="146"/>
    </row>
    <row r="372" spans="2:38" x14ac:dyDescent="0.25">
      <c r="B372" s="12" t="s">
        <v>82</v>
      </c>
      <c r="C372" s="13" t="s">
        <v>354</v>
      </c>
      <c r="D372" s="13" t="s">
        <v>10</v>
      </c>
      <c r="E372" s="858" t="s">
        <v>410</v>
      </c>
      <c r="F372" s="859"/>
      <c r="G372" s="341">
        <f>'Kalkulace a Porovnání'!G372</f>
        <v>0</v>
      </c>
      <c r="H372" s="341">
        <f>'Kalkulace a Porovnání'!H372</f>
        <v>0</v>
      </c>
      <c r="K372" s="12" t="s">
        <v>82</v>
      </c>
      <c r="L372" s="13" t="s">
        <v>354</v>
      </c>
      <c r="M372" s="13" t="s">
        <v>10</v>
      </c>
      <c r="N372" s="858" t="s">
        <v>410</v>
      </c>
      <c r="O372" s="859"/>
      <c r="P372" s="341">
        <f>'Kalkulace a Porovnání'!P372</f>
        <v>0</v>
      </c>
      <c r="Q372" s="341">
        <f>'Kalkulace a Porovnání'!Q372</f>
        <v>0</v>
      </c>
      <c r="T372" s="12" t="s">
        <v>82</v>
      </c>
      <c r="U372" s="13" t="s">
        <v>354</v>
      </c>
      <c r="V372" s="13" t="s">
        <v>10</v>
      </c>
      <c r="W372" s="858" t="s">
        <v>410</v>
      </c>
      <c r="X372" s="859"/>
      <c r="Y372" s="341">
        <f>'Kalkulace a Porovnání'!Y372</f>
        <v>2.3999896640999999E-2</v>
      </c>
      <c r="Z372" s="341">
        <f>'Kalkulace a Porovnání'!Z372</f>
        <v>0</v>
      </c>
      <c r="AA372" s="341">
        <f>'Kalkulace a Porovnání'!AA372</f>
        <v>0.100000278</v>
      </c>
      <c r="AB372" s="341">
        <f>'Kalkulace a Porovnání'!AB372</f>
        <v>0</v>
      </c>
      <c r="AC372" s="146"/>
      <c r="AD372" s="428"/>
      <c r="AG372" s="428"/>
      <c r="AH372" s="428"/>
      <c r="AI372" s="428"/>
      <c r="AJ372" s="428"/>
      <c r="AK372" s="428"/>
      <c r="AL372" s="146"/>
    </row>
    <row r="373" spans="2:38" x14ac:dyDescent="0.25">
      <c r="B373" s="12" t="s">
        <v>83</v>
      </c>
      <c r="C373" s="13" t="s">
        <v>81</v>
      </c>
      <c r="D373" s="13" t="s">
        <v>58</v>
      </c>
      <c r="E373" s="858" t="s">
        <v>411</v>
      </c>
      <c r="F373" s="859"/>
      <c r="G373" s="341">
        <f>'Kalkulace a Porovnání'!G373</f>
        <v>0</v>
      </c>
      <c r="H373" s="341">
        <f>'Kalkulace a Porovnání'!H373</f>
        <v>0</v>
      </c>
      <c r="K373" s="12" t="s">
        <v>83</v>
      </c>
      <c r="L373" s="13" t="s">
        <v>81</v>
      </c>
      <c r="M373" s="13" t="s">
        <v>58</v>
      </c>
      <c r="N373" s="858" t="s">
        <v>411</v>
      </c>
      <c r="O373" s="859"/>
      <c r="P373" s="341">
        <f>'Kalkulace a Porovnání'!P373</f>
        <v>0</v>
      </c>
      <c r="Q373" s="341">
        <f>'Kalkulace a Porovnání'!Q373</f>
        <v>0</v>
      </c>
      <c r="T373" s="12" t="s">
        <v>83</v>
      </c>
      <c r="U373" s="13" t="s">
        <v>81</v>
      </c>
      <c r="V373" s="13" t="s">
        <v>58</v>
      </c>
      <c r="W373" s="858" t="s">
        <v>411</v>
      </c>
      <c r="X373" s="859"/>
      <c r="Y373" s="341">
        <f>'Kalkulace a Porovnání'!Y373</f>
        <v>0</v>
      </c>
      <c r="Z373" s="341">
        <f>'Kalkulace a Porovnání'!Z373</f>
        <v>0</v>
      </c>
      <c r="AA373" s="341">
        <f>'Kalkulace a Porovnání'!AA373</f>
        <v>0</v>
      </c>
      <c r="AB373" s="341">
        <f>'Kalkulace a Porovnání'!AB373</f>
        <v>0</v>
      </c>
      <c r="AC373" s="146"/>
      <c r="AD373" s="428"/>
      <c r="AG373" s="428"/>
      <c r="AH373" s="428"/>
      <c r="AI373" s="428"/>
      <c r="AJ373" s="428"/>
      <c r="AK373" s="428"/>
      <c r="AL373" s="146"/>
    </row>
    <row r="374" spans="2:38" x14ac:dyDescent="0.25">
      <c r="B374" s="12" t="s">
        <v>155</v>
      </c>
      <c r="C374" s="13" t="s">
        <v>393</v>
      </c>
      <c r="D374" s="13" t="s">
        <v>73</v>
      </c>
      <c r="E374" s="854" t="s">
        <v>412</v>
      </c>
      <c r="F374" s="855"/>
      <c r="G374" s="138">
        <f>'Kalkulace a Porovnání'!G374</f>
        <v>0</v>
      </c>
      <c r="H374" s="138">
        <f>'Kalkulace a Porovnání'!H374</f>
        <v>0</v>
      </c>
      <c r="K374" s="12" t="s">
        <v>155</v>
      </c>
      <c r="L374" s="13" t="s">
        <v>393</v>
      </c>
      <c r="M374" s="13" t="s">
        <v>73</v>
      </c>
      <c r="N374" s="854" t="s">
        <v>412</v>
      </c>
      <c r="O374" s="855"/>
      <c r="P374" s="138">
        <f>'Kalkulace a Porovnání'!P374</f>
        <v>0</v>
      </c>
      <c r="Q374" s="138">
        <f>'Kalkulace a Porovnání'!Q374</f>
        <v>0</v>
      </c>
      <c r="T374" s="12" t="s">
        <v>155</v>
      </c>
      <c r="U374" s="13" t="s">
        <v>393</v>
      </c>
      <c r="V374" s="13" t="s">
        <v>73</v>
      </c>
      <c r="W374" s="854" t="s">
        <v>412</v>
      </c>
      <c r="X374" s="855"/>
      <c r="Y374" s="138">
        <f>'Kalkulace a Porovnání'!Y374</f>
        <v>0</v>
      </c>
      <c r="Z374" s="138">
        <f>'Kalkulace a Porovnání'!Z374</f>
        <v>0</v>
      </c>
      <c r="AA374" s="138">
        <f>'Kalkulace a Porovnání'!AA374</f>
        <v>0</v>
      </c>
      <c r="AB374" s="138">
        <f>'Kalkulace a Porovnání'!AB374</f>
        <v>0</v>
      </c>
      <c r="AC374" s="146"/>
      <c r="AD374" s="428"/>
      <c r="AG374" s="428"/>
      <c r="AH374" s="428"/>
      <c r="AI374" s="428"/>
      <c r="AJ374" s="428"/>
      <c r="AK374" s="428"/>
      <c r="AL374" s="146"/>
    </row>
    <row r="375" spans="2:38" x14ac:dyDescent="0.25">
      <c r="B375" s="12" t="s">
        <v>355</v>
      </c>
      <c r="C375" s="13" t="str">
        <f>CONCATENATE("UPLATŇOVANÁ CENA pro vodné, stočné + ",Provozování!E379*100,"% DPH")</f>
        <v>UPLATŇOVANÁ CENA pro vodné, stočné + 0% DPH</v>
      </c>
      <c r="D375" s="13" t="s">
        <v>73</v>
      </c>
      <c r="E375" s="854" t="s">
        <v>413</v>
      </c>
      <c r="F375" s="855"/>
      <c r="G375" s="138">
        <f>'Kalkulace a Porovnání'!G375</f>
        <v>0</v>
      </c>
      <c r="H375" s="138">
        <f>'Kalkulace a Porovnání'!H375</f>
        <v>0</v>
      </c>
      <c r="K375" s="12" t="s">
        <v>355</v>
      </c>
      <c r="L375" s="13" t="str">
        <f>C375</f>
        <v>UPLATŇOVANÁ CENA pro vodné, stočné + 0% DPH</v>
      </c>
      <c r="M375" s="13" t="s">
        <v>73</v>
      </c>
      <c r="N375" s="854" t="s">
        <v>413</v>
      </c>
      <c r="O375" s="855"/>
      <c r="P375" s="138">
        <f>'Kalkulace a Porovnání'!P375</f>
        <v>0</v>
      </c>
      <c r="Q375" s="138">
        <f>'Kalkulace a Porovnání'!Q375</f>
        <v>0</v>
      </c>
      <c r="T375" s="12" t="s">
        <v>355</v>
      </c>
      <c r="U375" s="13" t="str">
        <f>C375</f>
        <v>UPLATŇOVANÁ CENA pro vodné, stočné + 0% DPH</v>
      </c>
      <c r="V375" s="13" t="s">
        <v>73</v>
      </c>
      <c r="W375" s="854" t="s">
        <v>413</v>
      </c>
      <c r="X375" s="855"/>
      <c r="Y375" s="138">
        <f>'Kalkulace a Porovnání'!Y375</f>
        <v>0</v>
      </c>
      <c r="Z375" s="138">
        <f>'Kalkulace a Porovnání'!Z375</f>
        <v>0</v>
      </c>
      <c r="AA375" s="138">
        <f>'Kalkulace a Porovnání'!AA375</f>
        <v>0</v>
      </c>
      <c r="AB375" s="138">
        <f>'Kalkulace a Porovnání'!AB375</f>
        <v>0</v>
      </c>
      <c r="AC375" s="146"/>
      <c r="AD375" s="428"/>
      <c r="AG375" s="428"/>
      <c r="AH375" s="428"/>
      <c r="AI375" s="428"/>
      <c r="AJ375" s="428"/>
      <c r="AK375" s="428"/>
      <c r="AL375" s="146"/>
    </row>
    <row r="376" spans="2:38" x14ac:dyDescent="0.25">
      <c r="B376" s="210" t="s">
        <v>356</v>
      </c>
      <c r="C376" s="244" t="s">
        <v>357</v>
      </c>
      <c r="D376" s="244"/>
      <c r="E376" s="884" t="s">
        <v>414</v>
      </c>
      <c r="F376" s="869"/>
      <c r="G376" s="138">
        <f>'Kalkulace a Porovnání'!G376</f>
        <v>0</v>
      </c>
      <c r="H376" s="138">
        <f>'Kalkulace a Porovnání'!H376</f>
        <v>0</v>
      </c>
      <c r="K376" s="210" t="s">
        <v>356</v>
      </c>
      <c r="L376" s="244" t="s">
        <v>357</v>
      </c>
      <c r="M376" s="244"/>
      <c r="N376" s="884" t="s">
        <v>414</v>
      </c>
      <c r="O376" s="869"/>
      <c r="P376" s="138">
        <f>'Kalkulace a Porovnání'!P376</f>
        <v>0</v>
      </c>
      <c r="Q376" s="138">
        <f>'Kalkulace a Porovnání'!Q376</f>
        <v>0</v>
      </c>
      <c r="T376" s="12" t="s">
        <v>356</v>
      </c>
      <c r="U376" s="13" t="s">
        <v>357</v>
      </c>
      <c r="V376" s="13"/>
      <c r="W376" s="884" t="s">
        <v>414</v>
      </c>
      <c r="X376" s="869"/>
      <c r="Y376" s="530">
        <f>'Kalkulace a Porovnání'!Y376</f>
        <v>0</v>
      </c>
      <c r="Z376" s="530">
        <f>'Kalkulace a Porovnání'!Z376</f>
        <v>0</v>
      </c>
      <c r="AA376" s="530">
        <f>'Kalkulace a Porovnání'!AA376</f>
        <v>0</v>
      </c>
      <c r="AB376" s="530">
        <f>'Kalkulace a Porovnání'!AB376</f>
        <v>0</v>
      </c>
      <c r="AC376" s="146"/>
      <c r="AD376" s="428"/>
      <c r="AG376" s="428"/>
      <c r="AH376" s="428"/>
      <c r="AI376" s="428"/>
      <c r="AJ376" s="428"/>
      <c r="AK376" s="428"/>
      <c r="AL376" s="146"/>
    </row>
    <row r="377" spans="2:38" x14ac:dyDescent="0.25">
      <c r="B377" s="29"/>
      <c r="C377" s="29"/>
      <c r="D377" s="29"/>
      <c r="E377" s="29"/>
      <c r="F377" s="29"/>
      <c r="G377" s="29"/>
      <c r="H377" s="29"/>
      <c r="I377" s="29"/>
      <c r="J377" s="29"/>
      <c r="K377" s="29"/>
      <c r="L377" s="29"/>
      <c r="M377" s="29"/>
      <c r="N377" s="29"/>
      <c r="O377" s="29"/>
      <c r="P377" s="29"/>
      <c r="Q377" s="29"/>
      <c r="R377" s="29"/>
      <c r="T377" s="1121" t="s">
        <v>364</v>
      </c>
      <c r="U377" s="1121" t="s">
        <v>154</v>
      </c>
      <c r="V377" s="1122" t="s">
        <v>10</v>
      </c>
      <c r="W377" s="854" t="s">
        <v>156</v>
      </c>
      <c r="X377" s="858"/>
      <c r="Y377" s="89" t="s">
        <v>158</v>
      </c>
      <c r="Z377" s="92" t="s">
        <v>159</v>
      </c>
      <c r="AA377" s="89" t="s">
        <v>158</v>
      </c>
      <c r="AB377" s="92" t="s">
        <v>159</v>
      </c>
      <c r="AC377" s="146"/>
      <c r="AD377" s="428"/>
      <c r="AG377" s="428"/>
      <c r="AH377" s="428"/>
      <c r="AI377" s="428"/>
      <c r="AJ377" s="428"/>
      <c r="AK377" s="428"/>
      <c r="AL377" s="146"/>
    </row>
    <row r="378" spans="2:38" x14ac:dyDescent="0.25">
      <c r="B378" s="383"/>
      <c r="C378" s="382"/>
      <c r="D378" s="382"/>
      <c r="E378" s="382"/>
      <c r="F378" s="382"/>
      <c r="G378" s="29"/>
      <c r="H378" s="29"/>
      <c r="I378" s="29"/>
      <c r="J378" s="29"/>
      <c r="K378" s="29"/>
      <c r="L378" s="29"/>
      <c r="M378" s="29"/>
      <c r="N378" s="29"/>
      <c r="O378" s="29"/>
      <c r="P378" s="29"/>
      <c r="Q378" s="29"/>
      <c r="R378" s="29"/>
      <c r="T378" s="1121"/>
      <c r="U378" s="1121"/>
      <c r="V378" s="1122"/>
      <c r="W378" s="1123">
        <f>'Kalkulace a Porovnání'!W378</f>
        <v>0</v>
      </c>
      <c r="X378" s="1124"/>
      <c r="Y378" s="90">
        <f>'Kalkulace a Porovnání'!Y378</f>
        <v>2028</v>
      </c>
      <c r="Z378" s="90">
        <f>'Kalkulace a Porovnání'!Z378</f>
        <v>2028</v>
      </c>
      <c r="AA378" s="90">
        <f>'Kalkulace a Porovnání'!AA378</f>
        <v>2028</v>
      </c>
      <c r="AB378" s="90">
        <f>'Kalkulace a Porovnání'!AB378</f>
        <v>2028</v>
      </c>
      <c r="AC378" s="146"/>
      <c r="AD378" s="428"/>
      <c r="AG378" s="428"/>
      <c r="AH378" s="428"/>
      <c r="AI378" s="428"/>
      <c r="AJ378" s="428"/>
      <c r="AK378" s="428"/>
      <c r="AL378" s="146"/>
    </row>
    <row r="379" spans="2:38" x14ac:dyDescent="0.25">
      <c r="B379" s="383"/>
      <c r="C379" s="382"/>
      <c r="D379" s="382"/>
      <c r="E379" s="382"/>
      <c r="F379" s="382"/>
      <c r="G379" s="29"/>
      <c r="H379" s="29"/>
      <c r="I379" s="29"/>
      <c r="J379" s="29"/>
      <c r="K379" s="29"/>
      <c r="L379" s="29"/>
      <c r="M379" s="29"/>
      <c r="N379" s="29"/>
      <c r="O379" s="29"/>
      <c r="P379" s="29"/>
      <c r="Q379" s="29"/>
      <c r="R379" s="29"/>
      <c r="T379" s="1121"/>
      <c r="U379" s="1121"/>
      <c r="V379" s="1122"/>
      <c r="W379" s="854" t="s">
        <v>157</v>
      </c>
      <c r="X379" s="858"/>
      <c r="Y379" s="91" t="s">
        <v>160</v>
      </c>
      <c r="Z379" s="91" t="s">
        <v>160</v>
      </c>
      <c r="AA379" s="91" t="s">
        <v>161</v>
      </c>
      <c r="AB379" s="91" t="s">
        <v>161</v>
      </c>
      <c r="AC379" s="146"/>
      <c r="AD379" s="428"/>
      <c r="AG379" s="428"/>
      <c r="AH379" s="428"/>
      <c r="AI379" s="428"/>
      <c r="AJ379" s="428"/>
      <c r="AK379" s="428"/>
      <c r="AL379" s="146"/>
    </row>
    <row r="380" spans="2:38" x14ac:dyDescent="0.25">
      <c r="B380" s="382"/>
      <c r="C380" s="382"/>
      <c r="D380" s="382"/>
      <c r="E380" s="382"/>
      <c r="F380" s="382"/>
      <c r="G380" s="29"/>
      <c r="H380" s="29"/>
      <c r="I380" s="29"/>
      <c r="J380" s="29"/>
      <c r="K380" s="29"/>
      <c r="L380" s="29"/>
      <c r="M380" s="29"/>
      <c r="N380" s="29"/>
      <c r="O380" s="29"/>
      <c r="P380" s="29"/>
      <c r="Q380" s="29"/>
      <c r="R380" s="29"/>
      <c r="T380" s="1121"/>
      <c r="U380" s="1121"/>
      <c r="V380" s="1122"/>
      <c r="W380" s="1125">
        <f>'Kalkulace a Porovnání'!W380</f>
        <v>0</v>
      </c>
      <c r="X380" s="1125"/>
      <c r="Y380" s="341">
        <f>'Kalkulace a Porovnání'!Y380</f>
        <v>0</v>
      </c>
      <c r="Z380" s="341">
        <f>'Kalkulace a Porovnání'!Z380</f>
        <v>0</v>
      </c>
      <c r="AA380" s="341">
        <f>'Kalkulace a Porovnání'!AA380</f>
        <v>0</v>
      </c>
      <c r="AB380" s="341">
        <f>'Kalkulace a Porovnání'!AB380</f>
        <v>0</v>
      </c>
      <c r="AC380" s="146"/>
      <c r="AD380" s="428"/>
      <c r="AG380" s="428"/>
      <c r="AH380" s="428"/>
      <c r="AI380" s="428"/>
      <c r="AJ380" s="428"/>
      <c r="AK380" s="428"/>
      <c r="AL380" s="146"/>
    </row>
    <row r="381" spans="2:38" x14ac:dyDescent="0.25">
      <c r="B381" s="29"/>
      <c r="AC381" s="146"/>
      <c r="AD381" s="428"/>
      <c r="AG381" s="428"/>
      <c r="AH381" s="428"/>
      <c r="AI381" s="428"/>
      <c r="AJ381" s="428"/>
      <c r="AK381" s="428"/>
      <c r="AL381" s="146"/>
    </row>
    <row r="382" spans="2:38" x14ac:dyDescent="0.25">
      <c r="B382" s="899" t="s">
        <v>316</v>
      </c>
      <c r="C382" s="900"/>
      <c r="D382" s="900"/>
      <c r="E382" s="900"/>
      <c r="F382" s="900"/>
      <c r="G382" s="900"/>
      <c r="H382" s="900"/>
      <c r="K382" s="899" t="s">
        <v>317</v>
      </c>
      <c r="L382" s="900"/>
      <c r="M382" s="900"/>
      <c r="N382" s="900"/>
      <c r="O382" s="900"/>
      <c r="P382" s="900"/>
      <c r="Q382" s="900"/>
      <c r="T382" s="899" t="s">
        <v>162</v>
      </c>
      <c r="U382" s="900"/>
      <c r="V382" s="900"/>
      <c r="W382" s="900"/>
      <c r="X382" s="900"/>
      <c r="Y382" s="900"/>
      <c r="Z382" s="900"/>
      <c r="AA382" s="900"/>
      <c r="AB382" s="900"/>
      <c r="AC382" s="146"/>
      <c r="AD382" s="428"/>
      <c r="AG382" s="428"/>
      <c r="AH382" s="428"/>
      <c r="AI382" s="428"/>
      <c r="AJ382" s="428"/>
      <c r="AK382" s="428"/>
      <c r="AL382" s="146"/>
    </row>
    <row r="383" spans="2:38" x14ac:dyDescent="0.25">
      <c r="C383" s="272"/>
      <c r="E383" s="25"/>
      <c r="F383" s="25"/>
      <c r="L383" s="25"/>
      <c r="N383" s="25"/>
      <c r="T383" s="1079" t="s">
        <v>318</v>
      </c>
      <c r="U383" s="1079"/>
      <c r="V383" s="1079"/>
      <c r="W383" s="1079"/>
      <c r="X383" s="1079"/>
      <c r="Y383" s="1079"/>
      <c r="Z383" s="1079"/>
      <c r="AA383" s="1079"/>
      <c r="AB383" s="1079"/>
      <c r="AC383" s="146"/>
      <c r="AD383" s="428"/>
      <c r="AG383" s="428"/>
      <c r="AH383" s="428"/>
      <c r="AI383" s="428"/>
      <c r="AJ383" s="428"/>
      <c r="AK383" s="428"/>
      <c r="AL383" s="146"/>
    </row>
    <row r="384" spans="2:38" x14ac:dyDescent="0.25">
      <c r="C384" s="272" t="s">
        <v>103</v>
      </c>
      <c r="D384" s="274">
        <f>'Kalkulace a Porovnání'!D384</f>
        <v>2029</v>
      </c>
      <c r="E384" s="25"/>
      <c r="F384" s="272" t="s">
        <v>221</v>
      </c>
      <c r="G384" s="275" t="str">
        <f>'Kalkulace a Porovnání'!G384</f>
        <v>-</v>
      </c>
      <c r="H384" s="275" t="str">
        <f>'Kalkulace a Porovnání'!H384</f>
        <v xml:space="preserve"> </v>
      </c>
      <c r="L384" s="272" t="s">
        <v>103</v>
      </c>
      <c r="M384" s="274">
        <f>'Kalkulace a Porovnání'!M384</f>
        <v>2029</v>
      </c>
      <c r="O384" s="272" t="s">
        <v>221</v>
      </c>
      <c r="P384" s="275" t="str">
        <f>'Kalkulace a Porovnání'!P384</f>
        <v>-</v>
      </c>
      <c r="Q384" s="275" t="str">
        <f>'Kalkulace a Porovnání'!Q384</f>
        <v xml:space="preserve"> </v>
      </c>
      <c r="T384" s="333"/>
      <c r="U384" s="333"/>
      <c r="V384" s="342" t="s">
        <v>147</v>
      </c>
      <c r="W384" s="274">
        <f>'Kalkulace a Porovnání'!W384</f>
        <v>2029</v>
      </c>
      <c r="Z384" s="272" t="s">
        <v>221</v>
      </c>
      <c r="AA384" s="275" t="str">
        <f>'Kalkulace a Porovnání'!AA384</f>
        <v>-</v>
      </c>
      <c r="AB384" s="275" t="str">
        <f>'Kalkulace a Porovnání'!AB384</f>
        <v xml:space="preserve"> </v>
      </c>
      <c r="AC384" s="146"/>
      <c r="AD384" s="428"/>
      <c r="AG384" s="428"/>
      <c r="AH384" s="428"/>
      <c r="AI384" s="428"/>
      <c r="AJ384" s="428"/>
      <c r="AK384" s="428"/>
      <c r="AL384" s="146"/>
    </row>
    <row r="385" spans="2:38" x14ac:dyDescent="0.25">
      <c r="B385" s="13" t="s">
        <v>66</v>
      </c>
      <c r="C385" s="13" t="s">
        <v>89</v>
      </c>
      <c r="D385" s="1061" t="str">
        <f>'Kalkulace a Porovnání'!D385</f>
        <v>PRVOK s.r.o., IČ 281 28 257</v>
      </c>
      <c r="E385" s="1062"/>
      <c r="F385" s="1062"/>
      <c r="G385" s="1062"/>
      <c r="H385" s="1063"/>
      <c r="K385" s="13" t="s">
        <v>66</v>
      </c>
      <c r="L385" s="13" t="s">
        <v>89</v>
      </c>
      <c r="M385" s="1061" t="str">
        <f>'Kalkulace a Porovnání'!M385</f>
        <v>PRVOK s.r.o., IČ 281 28 257</v>
      </c>
      <c r="N385" s="1062"/>
      <c r="O385" s="1062"/>
      <c r="P385" s="1062"/>
      <c r="Q385" s="1063"/>
      <c r="T385" s="13" t="s">
        <v>66</v>
      </c>
      <c r="U385" s="13" t="s">
        <v>89</v>
      </c>
      <c r="V385" s="1080" t="str">
        <f>'Kalkulace a Porovnání'!V385</f>
        <v>PRVOK s.r.o., IČ 281 28 257</v>
      </c>
      <c r="W385" s="1081"/>
      <c r="X385" s="1081"/>
      <c r="Y385" s="1081"/>
      <c r="Z385" s="1081"/>
      <c r="AA385" s="1081"/>
      <c r="AB385" s="1081"/>
      <c r="AC385" s="146"/>
      <c r="AD385" s="428"/>
      <c r="AG385" s="252"/>
      <c r="AH385" s="252"/>
      <c r="AI385" s="252"/>
      <c r="AJ385" s="252"/>
      <c r="AK385" s="428"/>
      <c r="AL385" s="146"/>
    </row>
    <row r="386" spans="2:38" x14ac:dyDescent="0.25">
      <c r="B386" s="13" t="s">
        <v>84</v>
      </c>
      <c r="C386" s="13" t="s">
        <v>90</v>
      </c>
      <c r="D386" s="1061" t="str">
        <f>'Kalkulace a Porovnání'!D386</f>
        <v>PRVOK s.r.o., IČ 281 28 257</v>
      </c>
      <c r="E386" s="1062"/>
      <c r="F386" s="1062"/>
      <c r="G386" s="1062"/>
      <c r="H386" s="1063"/>
      <c r="K386" s="13" t="s">
        <v>84</v>
      </c>
      <c r="L386" s="13" t="s">
        <v>90</v>
      </c>
      <c r="M386" s="1061" t="str">
        <f>'Kalkulace a Porovnání'!M386</f>
        <v>PRVOK s.r.o., IČ 281 28 257</v>
      </c>
      <c r="N386" s="1062"/>
      <c r="O386" s="1062"/>
      <c r="P386" s="1062"/>
      <c r="Q386" s="1063"/>
      <c r="T386" s="13" t="s">
        <v>84</v>
      </c>
      <c r="U386" s="13" t="s">
        <v>90</v>
      </c>
      <c r="V386" s="1080" t="str">
        <f>'Kalkulace a Porovnání'!V386</f>
        <v>PRVOK s.r.o., IČ 281 28 257</v>
      </c>
      <c r="W386" s="1081"/>
      <c r="X386" s="1081"/>
      <c r="Y386" s="1081"/>
      <c r="Z386" s="1081"/>
      <c r="AA386" s="1081"/>
      <c r="AB386" s="1081"/>
      <c r="AC386" s="146"/>
      <c r="AD386" s="428"/>
      <c r="AG386" s="252"/>
      <c r="AH386" s="252"/>
      <c r="AI386" s="252"/>
      <c r="AJ386" s="252"/>
      <c r="AK386" s="428"/>
      <c r="AL386" s="146"/>
    </row>
    <row r="387" spans="2:38" x14ac:dyDescent="0.25">
      <c r="B387" s="13" t="s">
        <v>85</v>
      </c>
      <c r="C387" s="13" t="s">
        <v>91</v>
      </c>
      <c r="D387" s="1061" t="str">
        <f>'Kalkulace a Porovnání'!D387</f>
        <v>Obec Benešov nad Černou, IČ 00245780</v>
      </c>
      <c r="E387" s="1062"/>
      <c r="F387" s="1062"/>
      <c r="G387" s="1062"/>
      <c r="H387" s="1063"/>
      <c r="K387" s="13" t="s">
        <v>85</v>
      </c>
      <c r="L387" s="13" t="s">
        <v>91</v>
      </c>
      <c r="M387" s="1061" t="str">
        <f>'Kalkulace a Porovnání'!M387</f>
        <v>Obec Benešov nad Černou, IČ 00245780</v>
      </c>
      <c r="N387" s="1062"/>
      <c r="O387" s="1062"/>
      <c r="P387" s="1062"/>
      <c r="Q387" s="1063"/>
      <c r="T387" s="13" t="s">
        <v>85</v>
      </c>
      <c r="U387" s="13" t="s">
        <v>91</v>
      </c>
      <c r="V387" s="1080" t="str">
        <f>'Kalkulace a Porovnání'!V387</f>
        <v>Obec Benešov nad Černou, IČ 00245780</v>
      </c>
      <c r="W387" s="1081"/>
      <c r="X387" s="1081"/>
      <c r="Y387" s="1081"/>
      <c r="Z387" s="1081"/>
      <c r="AA387" s="1081"/>
      <c r="AB387" s="1081"/>
      <c r="AC387" s="146"/>
      <c r="AD387" s="428"/>
      <c r="AG387" s="252"/>
      <c r="AH387" s="252"/>
      <c r="AI387" s="252"/>
      <c r="AJ387" s="252"/>
      <c r="AK387" s="428"/>
      <c r="AL387" s="146"/>
    </row>
    <row r="388" spans="2:38" x14ac:dyDescent="0.25">
      <c r="B388" s="13" t="s">
        <v>86</v>
      </c>
      <c r="C388" s="13" t="s">
        <v>93</v>
      </c>
      <c r="D388" s="1061" t="str">
        <f>'Kalkulace a Porovnání'!D388</f>
        <v>A</v>
      </c>
      <c r="E388" s="1062"/>
      <c r="F388" s="1062"/>
      <c r="G388" s="1062"/>
      <c r="H388" s="1063"/>
      <c r="K388" s="13" t="s">
        <v>86</v>
      </c>
      <c r="L388" s="13" t="s">
        <v>93</v>
      </c>
      <c r="M388" s="1061" t="str">
        <f>'Kalkulace a Porovnání'!M388</f>
        <v>A</v>
      </c>
      <c r="N388" s="1062"/>
      <c r="O388" s="1062"/>
      <c r="P388" s="1062"/>
      <c r="Q388" s="1063"/>
      <c r="T388" s="13" t="s">
        <v>86</v>
      </c>
      <c r="U388" s="13" t="s">
        <v>93</v>
      </c>
      <c r="V388" s="1080" t="str">
        <f>'Kalkulace a Porovnání'!V388</f>
        <v>A</v>
      </c>
      <c r="W388" s="1081"/>
      <c r="X388" s="1081"/>
      <c r="Y388" s="1081"/>
      <c r="Z388" s="1081"/>
      <c r="AA388" s="1081"/>
      <c r="AB388" s="1081"/>
      <c r="AC388" s="146"/>
      <c r="AD388" s="428"/>
      <c r="AG388" s="252"/>
      <c r="AH388" s="252"/>
      <c r="AI388" s="252"/>
      <c r="AJ388" s="252"/>
      <c r="AK388" s="428"/>
      <c r="AL388" s="146"/>
    </row>
    <row r="389" spans="2:38" x14ac:dyDescent="0.25">
      <c r="B389" s="13" t="s">
        <v>87</v>
      </c>
      <c r="C389" s="13" t="s">
        <v>92</v>
      </c>
      <c r="D389" s="1061">
        <f>'Kalkulace a Porovnání'!D389</f>
        <v>1</v>
      </c>
      <c r="E389" s="1062"/>
      <c r="F389" s="1062"/>
      <c r="G389" s="1062"/>
      <c r="H389" s="1063"/>
      <c r="K389" s="13" t="s">
        <v>87</v>
      </c>
      <c r="L389" s="13" t="s">
        <v>92</v>
      </c>
      <c r="M389" s="1061">
        <f>'Kalkulace a Porovnání'!M389</f>
        <v>1</v>
      </c>
      <c r="N389" s="1062"/>
      <c r="O389" s="1062"/>
      <c r="P389" s="1062"/>
      <c r="Q389" s="1063"/>
      <c r="T389" s="13" t="s">
        <v>87</v>
      </c>
      <c r="U389" s="13" t="s">
        <v>92</v>
      </c>
      <c r="V389" s="1080">
        <f>'Kalkulace a Porovnání'!V389</f>
        <v>1</v>
      </c>
      <c r="W389" s="1081"/>
      <c r="X389" s="1081"/>
      <c r="Y389" s="1081"/>
      <c r="Z389" s="1081"/>
      <c r="AA389" s="1081"/>
      <c r="AB389" s="1081"/>
      <c r="AC389" s="146"/>
      <c r="AD389" s="428"/>
      <c r="AG389" s="252"/>
      <c r="AH389" s="252"/>
      <c r="AI389" s="252"/>
      <c r="AJ389" s="252"/>
      <c r="AK389" s="428"/>
      <c r="AL389" s="146"/>
    </row>
    <row r="390" spans="2:38" x14ac:dyDescent="0.25">
      <c r="B390" s="13" t="s">
        <v>88</v>
      </c>
      <c r="C390" s="13" t="s">
        <v>94</v>
      </c>
      <c r="D390" s="1061" t="str">
        <f>'Kalkulace a Porovnání'!D390</f>
        <v>[vyplnit]</v>
      </c>
      <c r="E390" s="1062"/>
      <c r="F390" s="1062"/>
      <c r="G390" s="1062"/>
      <c r="H390" s="1063"/>
      <c r="K390" s="13" t="s">
        <v>88</v>
      </c>
      <c r="L390" s="13" t="s">
        <v>94</v>
      </c>
      <c r="M390" s="1061" t="str">
        <f>'Kalkulace a Porovnání'!M390</f>
        <v xml:space="preserve"> </v>
      </c>
      <c r="N390" s="1062"/>
      <c r="O390" s="1062"/>
      <c r="P390" s="1062"/>
      <c r="Q390" s="1063"/>
      <c r="T390" s="13" t="s">
        <v>88</v>
      </c>
      <c r="U390" s="13" t="s">
        <v>94</v>
      </c>
      <c r="V390" s="1080" t="str">
        <f>'Kalkulace a Porovnání'!V390</f>
        <v xml:space="preserve"> </v>
      </c>
      <c r="W390" s="1081"/>
      <c r="X390" s="1081"/>
      <c r="Y390" s="1081"/>
      <c r="Z390" s="1081"/>
      <c r="AA390" s="1081"/>
      <c r="AB390" s="1081"/>
      <c r="AC390" s="146"/>
      <c r="AD390" s="428"/>
      <c r="AG390" s="252"/>
      <c r="AH390" s="252"/>
      <c r="AI390" s="252"/>
      <c r="AJ390" s="252"/>
      <c r="AK390" s="428"/>
      <c r="AL390" s="146"/>
    </row>
    <row r="391" spans="2:38" x14ac:dyDescent="0.25">
      <c r="AC391" s="146"/>
      <c r="AD391" s="428"/>
      <c r="AG391" s="252"/>
      <c r="AH391" s="252"/>
      <c r="AI391" s="252"/>
      <c r="AJ391" s="252"/>
      <c r="AK391" s="428"/>
      <c r="AL391" s="146"/>
    </row>
    <row r="392" spans="2:38" x14ac:dyDescent="0.25">
      <c r="B392" s="1052" t="s">
        <v>5</v>
      </c>
      <c r="C392" s="884" t="s">
        <v>0</v>
      </c>
      <c r="D392" s="868"/>
      <c r="E392" s="868"/>
      <c r="F392" s="868"/>
      <c r="G392" s="868"/>
      <c r="H392" s="869"/>
      <c r="K392" s="1052" t="s">
        <v>5</v>
      </c>
      <c r="L392" s="884" t="s">
        <v>0</v>
      </c>
      <c r="M392" s="868"/>
      <c r="N392" s="868"/>
      <c r="O392" s="868"/>
      <c r="P392" s="868"/>
      <c r="Q392" s="869"/>
      <c r="T392" s="1052" t="s">
        <v>5</v>
      </c>
      <c r="U392" s="884" t="s">
        <v>0</v>
      </c>
      <c r="V392" s="868"/>
      <c r="W392" s="868"/>
      <c r="X392" s="868"/>
      <c r="Y392" s="868"/>
      <c r="Z392" s="868"/>
      <c r="AA392" s="868"/>
      <c r="AB392" s="869"/>
      <c r="AC392" s="146"/>
      <c r="AD392" s="428"/>
      <c r="AG392" s="252"/>
      <c r="AH392" s="252"/>
      <c r="AI392" s="252"/>
      <c r="AJ392" s="252"/>
      <c r="AK392" s="428"/>
      <c r="AL392" s="146"/>
    </row>
    <row r="393" spans="2:38" x14ac:dyDescent="0.25">
      <c r="B393" s="1053"/>
      <c r="C393" s="1052" t="s">
        <v>1</v>
      </c>
      <c r="D393" s="1065" t="s">
        <v>133</v>
      </c>
      <c r="E393" s="884" t="s">
        <v>3</v>
      </c>
      <c r="F393" s="868"/>
      <c r="G393" s="884" t="s">
        <v>4</v>
      </c>
      <c r="H393" s="869"/>
      <c r="K393" s="1053"/>
      <c r="L393" s="1052" t="s">
        <v>1</v>
      </c>
      <c r="M393" s="1065" t="s">
        <v>133</v>
      </c>
      <c r="N393" s="884" t="s">
        <v>3</v>
      </c>
      <c r="O393" s="868"/>
      <c r="P393" s="884" t="s">
        <v>4</v>
      </c>
      <c r="Q393" s="869"/>
      <c r="T393" s="1053"/>
      <c r="U393" s="1052" t="s">
        <v>1</v>
      </c>
      <c r="V393" s="1065" t="s">
        <v>133</v>
      </c>
      <c r="W393" s="884" t="s">
        <v>3</v>
      </c>
      <c r="X393" s="868"/>
      <c r="Y393" s="868"/>
      <c r="Z393" s="884" t="s">
        <v>4</v>
      </c>
      <c r="AA393" s="868"/>
      <c r="AB393" s="869"/>
      <c r="AC393" s="146"/>
      <c r="AD393" s="428"/>
      <c r="AG393" s="252"/>
      <c r="AH393" s="252"/>
      <c r="AI393" s="252"/>
      <c r="AJ393" s="252"/>
      <c r="AK393" s="428"/>
      <c r="AL393" s="146"/>
    </row>
    <row r="394" spans="2:38" x14ac:dyDescent="0.25">
      <c r="B394" s="1053"/>
      <c r="C394" s="1053"/>
      <c r="D394" s="1053"/>
      <c r="E394" s="28">
        <f>'Kalkulace a Porovnání'!E394</f>
        <v>2028</v>
      </c>
      <c r="F394" s="28">
        <f>'Kalkulace a Porovnání'!F394</f>
        <v>2029</v>
      </c>
      <c r="G394" s="28">
        <f>'Kalkulace a Porovnání'!G394</f>
        <v>2028</v>
      </c>
      <c r="H394" s="28">
        <f>'Kalkulace a Porovnání'!H394</f>
        <v>2029</v>
      </c>
      <c r="K394" s="1053"/>
      <c r="L394" s="1053"/>
      <c r="M394" s="1053"/>
      <c r="N394" s="28">
        <f>'Kalkulace a Porovnání'!N394</f>
        <v>2028</v>
      </c>
      <c r="O394" s="28">
        <f>'Kalkulace a Porovnání'!O394</f>
        <v>2029</v>
      </c>
      <c r="P394" s="28">
        <f>'Kalkulace a Porovnání'!P394</f>
        <v>2028</v>
      </c>
      <c r="Q394" s="28">
        <f>'Kalkulace a Porovnání'!Q394</f>
        <v>2029</v>
      </c>
      <c r="T394" s="1053"/>
      <c r="U394" s="1053"/>
      <c r="V394" s="1053"/>
      <c r="W394" s="28">
        <f>'Kalkulace a Porovnání'!W394</f>
        <v>2029</v>
      </c>
      <c r="X394" s="28">
        <f>'Kalkulace a Porovnání'!X394</f>
        <v>2029</v>
      </c>
      <c r="Y394" s="28">
        <f>'Kalkulace a Porovnání'!Y394</f>
        <v>2029</v>
      </c>
      <c r="Z394" s="28">
        <f>'Kalkulace a Porovnání'!Z394</f>
        <v>2029</v>
      </c>
      <c r="AA394" s="28">
        <f>'Kalkulace a Porovnání'!AA394</f>
        <v>2029</v>
      </c>
      <c r="AB394" s="28">
        <f>'Kalkulace a Porovnání'!AB394</f>
        <v>2029</v>
      </c>
      <c r="AC394" s="146"/>
      <c r="AD394" s="428"/>
      <c r="AG394" s="252"/>
      <c r="AH394" s="252"/>
      <c r="AI394" s="252"/>
      <c r="AJ394" s="252"/>
      <c r="AK394" s="428"/>
      <c r="AL394" s="146"/>
    </row>
    <row r="395" spans="2:38" x14ac:dyDescent="0.25">
      <c r="B395" s="1054"/>
      <c r="C395" s="1054"/>
      <c r="D395" s="1054"/>
      <c r="E395" s="7" t="s">
        <v>151</v>
      </c>
      <c r="F395" s="7" t="s">
        <v>98</v>
      </c>
      <c r="G395" s="7" t="s">
        <v>151</v>
      </c>
      <c r="H395" s="19" t="s">
        <v>98</v>
      </c>
      <c r="K395" s="1054"/>
      <c r="L395" s="1054"/>
      <c r="M395" s="1054"/>
      <c r="N395" s="7" t="s">
        <v>151</v>
      </c>
      <c r="O395" s="7" t="s">
        <v>98</v>
      </c>
      <c r="P395" s="7" t="s">
        <v>151</v>
      </c>
      <c r="Q395" s="19" t="s">
        <v>98</v>
      </c>
      <c r="T395" s="1054"/>
      <c r="U395" s="1054"/>
      <c r="V395" s="1054"/>
      <c r="W395" s="7" t="s">
        <v>150</v>
      </c>
      <c r="X395" s="7" t="s">
        <v>98</v>
      </c>
      <c r="Y395" s="7" t="s">
        <v>149</v>
      </c>
      <c r="Z395" s="7" t="s">
        <v>150</v>
      </c>
      <c r="AA395" s="7" t="s">
        <v>98</v>
      </c>
      <c r="AB395" s="19" t="s">
        <v>149</v>
      </c>
      <c r="AC395" s="146"/>
      <c r="AD395" s="428"/>
      <c r="AG395" s="252"/>
      <c r="AH395" s="252"/>
      <c r="AI395" s="252"/>
      <c r="AJ395" s="252"/>
      <c r="AK395" s="428"/>
      <c r="AL395" s="146"/>
    </row>
    <row r="396" spans="2:38" x14ac:dyDescent="0.25">
      <c r="B396" s="11">
        <v>1</v>
      </c>
      <c r="C396" s="11">
        <v>2</v>
      </c>
      <c r="D396" s="11" t="s">
        <v>95</v>
      </c>
      <c r="E396" s="11">
        <v>3</v>
      </c>
      <c r="F396" s="11">
        <v>4</v>
      </c>
      <c r="G396" s="11">
        <v>6</v>
      </c>
      <c r="H396" s="22">
        <v>7</v>
      </c>
      <c r="K396" s="11">
        <v>1</v>
      </c>
      <c r="L396" s="11">
        <v>2</v>
      </c>
      <c r="M396" s="11" t="s">
        <v>95</v>
      </c>
      <c r="N396" s="11">
        <v>3</v>
      </c>
      <c r="O396" s="11">
        <v>4</v>
      </c>
      <c r="P396" s="11">
        <v>6</v>
      </c>
      <c r="Q396" s="22">
        <v>7</v>
      </c>
      <c r="T396" s="11">
        <v>1</v>
      </c>
      <c r="U396" s="11">
        <v>2</v>
      </c>
      <c r="V396" s="11" t="s">
        <v>95</v>
      </c>
      <c r="W396" s="11">
        <v>3</v>
      </c>
      <c r="X396" s="11">
        <v>4</v>
      </c>
      <c r="Y396" s="11">
        <v>5</v>
      </c>
      <c r="Z396" s="11">
        <v>6</v>
      </c>
      <c r="AA396" s="11">
        <v>7</v>
      </c>
      <c r="AB396" s="22">
        <v>8</v>
      </c>
      <c r="AC396" s="146"/>
      <c r="AD396" s="428"/>
      <c r="AG396" s="252"/>
      <c r="AH396" s="252"/>
      <c r="AI396" s="252"/>
      <c r="AJ396" s="252"/>
      <c r="AK396" s="428"/>
      <c r="AL396" s="146"/>
    </row>
    <row r="397" spans="2:38" x14ac:dyDescent="0.25">
      <c r="B397" s="9" t="s">
        <v>8</v>
      </c>
      <c r="C397" s="10" t="s">
        <v>9</v>
      </c>
      <c r="D397" s="11" t="s">
        <v>10</v>
      </c>
      <c r="E397" s="41">
        <f>'Kalkulace a Porovnání'!E397</f>
        <v>0</v>
      </c>
      <c r="F397" s="41">
        <f>'Kalkulace a Porovnání'!F397</f>
        <v>0</v>
      </c>
      <c r="G397" s="41">
        <f>'Kalkulace a Porovnání'!G397</f>
        <v>0</v>
      </c>
      <c r="H397" s="86">
        <f>'Kalkulace a Porovnání'!H397</f>
        <v>0</v>
      </c>
      <c r="K397" s="9" t="s">
        <v>8</v>
      </c>
      <c r="L397" s="10" t="s">
        <v>9</v>
      </c>
      <c r="M397" s="11" t="s">
        <v>10</v>
      </c>
      <c r="N397" s="41">
        <f>'Kalkulace a Porovnání'!N397</f>
        <v>0</v>
      </c>
      <c r="O397" s="41">
        <f>'Kalkulace a Porovnání'!O397</f>
        <v>0</v>
      </c>
      <c r="P397" s="41">
        <f>'Kalkulace a Porovnání'!P397</f>
        <v>0</v>
      </c>
      <c r="Q397" s="86">
        <f>'Kalkulace a Porovnání'!Q397</f>
        <v>0</v>
      </c>
      <c r="T397" s="9" t="s">
        <v>8</v>
      </c>
      <c r="U397" s="10" t="s">
        <v>9</v>
      </c>
      <c r="V397" s="11" t="s">
        <v>10</v>
      </c>
      <c r="W397" s="41">
        <f>'Kalkulace a Porovnání'!W397</f>
        <v>0</v>
      </c>
      <c r="X397" s="41">
        <f>'Kalkulace a Porovnání'!X397</f>
        <v>0</v>
      </c>
      <c r="Y397" s="41">
        <f>'Kalkulace a Porovnání'!Y397</f>
        <v>0</v>
      </c>
      <c r="Z397" s="41">
        <f>'Kalkulace a Porovnání'!Z397</f>
        <v>0</v>
      </c>
      <c r="AA397" s="41">
        <f>'Kalkulace a Porovnání'!AA397</f>
        <v>0</v>
      </c>
      <c r="AB397" s="86">
        <f>'Kalkulace a Porovnání'!AB397</f>
        <v>0</v>
      </c>
      <c r="AC397" s="146"/>
      <c r="AD397" s="428"/>
      <c r="AG397" s="252"/>
      <c r="AH397" s="252"/>
      <c r="AI397" s="252"/>
      <c r="AJ397" s="252"/>
      <c r="AK397" s="428"/>
      <c r="AL397" s="146"/>
    </row>
    <row r="398" spans="2:38" x14ac:dyDescent="0.25">
      <c r="B398" s="12" t="s">
        <v>11</v>
      </c>
      <c r="C398" s="13" t="s">
        <v>12</v>
      </c>
      <c r="D398" s="3" t="s">
        <v>10</v>
      </c>
      <c r="E398" s="44">
        <f>'Kalkulace a Porovnání'!E398</f>
        <v>0</v>
      </c>
      <c r="F398" s="44">
        <f>'Kalkulace a Porovnání'!F398</f>
        <v>0</v>
      </c>
      <c r="G398" s="44">
        <f>'Kalkulace a Porovnání'!G398</f>
        <v>0</v>
      </c>
      <c r="H398" s="30">
        <f>'Kalkulace a Porovnání'!H398</f>
        <v>0</v>
      </c>
      <c r="K398" s="12" t="s">
        <v>11</v>
      </c>
      <c r="L398" s="13" t="s">
        <v>12</v>
      </c>
      <c r="M398" s="3" t="s">
        <v>10</v>
      </c>
      <c r="N398" s="44">
        <f>'Kalkulace a Porovnání'!N398</f>
        <v>0</v>
      </c>
      <c r="O398" s="44">
        <f>'Kalkulace a Porovnání'!O398</f>
        <v>0</v>
      </c>
      <c r="P398" s="44">
        <f>'Kalkulace a Porovnání'!P398</f>
        <v>0</v>
      </c>
      <c r="Q398" s="30">
        <f>'Kalkulace a Porovnání'!Q398</f>
        <v>0</v>
      </c>
      <c r="T398" s="12" t="s">
        <v>11</v>
      </c>
      <c r="U398" s="13" t="s">
        <v>12</v>
      </c>
      <c r="V398" s="3" t="s">
        <v>10</v>
      </c>
      <c r="W398" s="44">
        <f>'Kalkulace a Porovnání'!W398</f>
        <v>0</v>
      </c>
      <c r="X398" s="44">
        <f>'Kalkulace a Porovnání'!X398</f>
        <v>0</v>
      </c>
      <c r="Y398" s="44">
        <f>'Kalkulace a Porovnání'!Y398</f>
        <v>0</v>
      </c>
      <c r="Z398" s="44">
        <f>'Kalkulace a Porovnání'!Z398</f>
        <v>0</v>
      </c>
      <c r="AA398" s="44">
        <f>'Kalkulace a Porovnání'!AA398</f>
        <v>0</v>
      </c>
      <c r="AB398" s="30">
        <f>'Kalkulace a Porovnání'!AB398</f>
        <v>0</v>
      </c>
      <c r="AC398" s="146"/>
      <c r="AD398" s="428"/>
      <c r="AG398" s="252"/>
      <c r="AH398" s="252"/>
      <c r="AI398" s="252"/>
      <c r="AJ398" s="252"/>
      <c r="AK398" s="428"/>
      <c r="AL398" s="146"/>
    </row>
    <row r="399" spans="2:38" x14ac:dyDescent="0.25">
      <c r="B399" s="12" t="s">
        <v>13</v>
      </c>
      <c r="C399" s="12" t="s">
        <v>14</v>
      </c>
      <c r="D399" s="3" t="s">
        <v>10</v>
      </c>
      <c r="E399" s="44">
        <f>'Kalkulace a Porovnání'!E399</f>
        <v>0</v>
      </c>
      <c r="F399" s="44">
        <f>'Kalkulace a Porovnání'!F399</f>
        <v>0</v>
      </c>
      <c r="G399" s="44">
        <f>'Kalkulace a Porovnání'!G399</f>
        <v>0</v>
      </c>
      <c r="H399" s="30">
        <f>'Kalkulace a Porovnání'!H399</f>
        <v>0</v>
      </c>
      <c r="K399" s="12" t="s">
        <v>13</v>
      </c>
      <c r="L399" s="12" t="s">
        <v>14</v>
      </c>
      <c r="M399" s="3" t="s">
        <v>10</v>
      </c>
      <c r="N399" s="44">
        <f>'Kalkulace a Porovnání'!N399</f>
        <v>0</v>
      </c>
      <c r="O399" s="44">
        <f>'Kalkulace a Porovnání'!O399</f>
        <v>0</v>
      </c>
      <c r="P399" s="44">
        <f>'Kalkulace a Porovnání'!P399</f>
        <v>0</v>
      </c>
      <c r="Q399" s="30">
        <f>'Kalkulace a Porovnání'!Q399</f>
        <v>0</v>
      </c>
      <c r="T399" s="12" t="s">
        <v>13</v>
      </c>
      <c r="U399" s="12" t="s">
        <v>14</v>
      </c>
      <c r="V399" s="3" t="s">
        <v>10</v>
      </c>
      <c r="W399" s="44">
        <f>'Kalkulace a Porovnání'!W399</f>
        <v>0</v>
      </c>
      <c r="X399" s="44">
        <f>'Kalkulace a Porovnání'!X399</f>
        <v>0</v>
      </c>
      <c r="Y399" s="44">
        <f>'Kalkulace a Porovnání'!Y399</f>
        <v>0</v>
      </c>
      <c r="Z399" s="44">
        <f>'Kalkulace a Porovnání'!Z399</f>
        <v>0</v>
      </c>
      <c r="AA399" s="44">
        <f>'Kalkulace a Porovnání'!AA399</f>
        <v>0</v>
      </c>
      <c r="AB399" s="30">
        <f>'Kalkulace a Porovnání'!AB399</f>
        <v>0</v>
      </c>
      <c r="AC399" s="146"/>
      <c r="AD399" s="428"/>
      <c r="AG399" s="252"/>
      <c r="AH399" s="252"/>
      <c r="AI399" s="252"/>
      <c r="AJ399" s="252"/>
      <c r="AK399" s="428"/>
      <c r="AL399" s="146"/>
    </row>
    <row r="400" spans="2:38" x14ac:dyDescent="0.25">
      <c r="B400" s="12" t="s">
        <v>15</v>
      </c>
      <c r="C400" s="13" t="s">
        <v>16</v>
      </c>
      <c r="D400" s="3" t="s">
        <v>10</v>
      </c>
      <c r="E400" s="44">
        <f>'Kalkulace a Porovnání'!E400</f>
        <v>0</v>
      </c>
      <c r="F400" s="44">
        <f>'Kalkulace a Porovnání'!F400</f>
        <v>0</v>
      </c>
      <c r="G400" s="44">
        <f>'Kalkulace a Porovnání'!G400</f>
        <v>0</v>
      </c>
      <c r="H400" s="30">
        <f>'Kalkulace a Porovnání'!H400</f>
        <v>0</v>
      </c>
      <c r="K400" s="12" t="s">
        <v>15</v>
      </c>
      <c r="L400" s="13" t="s">
        <v>16</v>
      </c>
      <c r="M400" s="3" t="s">
        <v>10</v>
      </c>
      <c r="N400" s="44">
        <f>'Kalkulace a Porovnání'!N400</f>
        <v>0</v>
      </c>
      <c r="O400" s="44">
        <f>'Kalkulace a Porovnání'!O400</f>
        <v>0</v>
      </c>
      <c r="P400" s="44">
        <f>'Kalkulace a Porovnání'!P400</f>
        <v>0</v>
      </c>
      <c r="Q400" s="30">
        <f>'Kalkulace a Porovnání'!Q400</f>
        <v>0</v>
      </c>
      <c r="T400" s="12" t="s">
        <v>15</v>
      </c>
      <c r="U400" s="13" t="s">
        <v>16</v>
      </c>
      <c r="V400" s="3" t="s">
        <v>10</v>
      </c>
      <c r="W400" s="44">
        <f>'Kalkulace a Porovnání'!W400</f>
        <v>0</v>
      </c>
      <c r="X400" s="44">
        <f>'Kalkulace a Porovnání'!X400</f>
        <v>0</v>
      </c>
      <c r="Y400" s="44">
        <f>'Kalkulace a Porovnání'!Y400</f>
        <v>0</v>
      </c>
      <c r="Z400" s="44">
        <f>'Kalkulace a Porovnání'!Z400</f>
        <v>0</v>
      </c>
      <c r="AA400" s="44">
        <f>'Kalkulace a Porovnání'!AA400</f>
        <v>0</v>
      </c>
      <c r="AB400" s="30">
        <f>'Kalkulace a Porovnání'!AB400</f>
        <v>0</v>
      </c>
      <c r="AC400" s="146"/>
      <c r="AD400" s="428"/>
      <c r="AG400" s="252"/>
      <c r="AH400" s="252"/>
      <c r="AI400" s="252"/>
      <c r="AJ400" s="252"/>
      <c r="AK400" s="428"/>
      <c r="AL400" s="146"/>
    </row>
    <row r="401" spans="2:38" x14ac:dyDescent="0.25">
      <c r="B401" s="12" t="s">
        <v>17</v>
      </c>
      <c r="C401" s="13" t="s">
        <v>18</v>
      </c>
      <c r="D401" s="3" t="s">
        <v>10</v>
      </c>
      <c r="E401" s="44">
        <f>'Kalkulace a Porovnání'!E401</f>
        <v>0</v>
      </c>
      <c r="F401" s="44">
        <f>'Kalkulace a Porovnání'!F401</f>
        <v>0</v>
      </c>
      <c r="G401" s="44">
        <f>'Kalkulace a Porovnání'!G401</f>
        <v>0</v>
      </c>
      <c r="H401" s="30">
        <f>'Kalkulace a Porovnání'!H401</f>
        <v>0</v>
      </c>
      <c r="K401" s="12" t="s">
        <v>17</v>
      </c>
      <c r="L401" s="13" t="s">
        <v>18</v>
      </c>
      <c r="M401" s="3" t="s">
        <v>10</v>
      </c>
      <c r="N401" s="44">
        <f>'Kalkulace a Porovnání'!N401</f>
        <v>0</v>
      </c>
      <c r="O401" s="44">
        <f>'Kalkulace a Porovnání'!O401</f>
        <v>0</v>
      </c>
      <c r="P401" s="44">
        <f>'Kalkulace a Porovnání'!P401</f>
        <v>0</v>
      </c>
      <c r="Q401" s="30">
        <f>'Kalkulace a Porovnání'!Q401</f>
        <v>0</v>
      </c>
      <c r="T401" s="12" t="s">
        <v>17</v>
      </c>
      <c r="U401" s="13" t="s">
        <v>18</v>
      </c>
      <c r="V401" s="3" t="s">
        <v>10</v>
      </c>
      <c r="W401" s="44">
        <f>'Kalkulace a Porovnání'!W401</f>
        <v>0</v>
      </c>
      <c r="X401" s="44">
        <f>'Kalkulace a Porovnání'!X401</f>
        <v>0</v>
      </c>
      <c r="Y401" s="44">
        <f>'Kalkulace a Porovnání'!Y401</f>
        <v>0</v>
      </c>
      <c r="Z401" s="44">
        <f>'Kalkulace a Porovnání'!Z401</f>
        <v>0</v>
      </c>
      <c r="AA401" s="44">
        <f>'Kalkulace a Porovnání'!AA401</f>
        <v>0</v>
      </c>
      <c r="AB401" s="30">
        <f>'Kalkulace a Porovnání'!AB401</f>
        <v>0</v>
      </c>
      <c r="AC401" s="146"/>
      <c r="AD401" s="428"/>
      <c r="AG401" s="252"/>
      <c r="AH401" s="252"/>
      <c r="AI401" s="252"/>
      <c r="AJ401" s="252"/>
      <c r="AK401" s="428"/>
      <c r="AL401" s="146"/>
    </row>
    <row r="402" spans="2:38" x14ac:dyDescent="0.25">
      <c r="B402" s="9" t="s">
        <v>19</v>
      </c>
      <c r="C402" s="10" t="s">
        <v>20</v>
      </c>
      <c r="D402" s="11" t="s">
        <v>10</v>
      </c>
      <c r="E402" s="41">
        <f>'Kalkulace a Porovnání'!E402</f>
        <v>0</v>
      </c>
      <c r="F402" s="41">
        <f>'Kalkulace a Porovnání'!F402</f>
        <v>0</v>
      </c>
      <c r="G402" s="41">
        <f>'Kalkulace a Porovnání'!G402</f>
        <v>0</v>
      </c>
      <c r="H402" s="86">
        <f>'Kalkulace a Porovnání'!H402</f>
        <v>0</v>
      </c>
      <c r="K402" s="9" t="s">
        <v>19</v>
      </c>
      <c r="L402" s="10" t="s">
        <v>20</v>
      </c>
      <c r="M402" s="11" t="s">
        <v>10</v>
      </c>
      <c r="N402" s="41">
        <f>'Kalkulace a Porovnání'!N402</f>
        <v>0</v>
      </c>
      <c r="O402" s="41">
        <f>'Kalkulace a Porovnání'!O402</f>
        <v>0</v>
      </c>
      <c r="P402" s="41">
        <f>'Kalkulace a Porovnání'!P402</f>
        <v>0</v>
      </c>
      <c r="Q402" s="86">
        <f>'Kalkulace a Porovnání'!Q402</f>
        <v>0</v>
      </c>
      <c r="T402" s="9" t="s">
        <v>19</v>
      </c>
      <c r="U402" s="10" t="s">
        <v>20</v>
      </c>
      <c r="V402" s="11" t="s">
        <v>10</v>
      </c>
      <c r="W402" s="41">
        <f>'Kalkulace a Porovnání'!W402</f>
        <v>0</v>
      </c>
      <c r="X402" s="41">
        <f>'Kalkulace a Porovnání'!X402</f>
        <v>0</v>
      </c>
      <c r="Y402" s="41">
        <f>'Kalkulace a Porovnání'!Y402</f>
        <v>0</v>
      </c>
      <c r="Z402" s="41">
        <f>'Kalkulace a Porovnání'!Z402</f>
        <v>0</v>
      </c>
      <c r="AA402" s="41">
        <f>'Kalkulace a Porovnání'!AA402</f>
        <v>0</v>
      </c>
      <c r="AB402" s="86">
        <f>'Kalkulace a Porovnání'!AB402</f>
        <v>0</v>
      </c>
      <c r="AC402" s="146"/>
      <c r="AD402" s="428"/>
      <c r="AG402" s="252"/>
      <c r="AH402" s="252"/>
      <c r="AI402" s="252"/>
      <c r="AJ402" s="252"/>
      <c r="AK402" s="428"/>
      <c r="AL402" s="146"/>
    </row>
    <row r="403" spans="2:38" x14ac:dyDescent="0.25">
      <c r="B403" s="12" t="s">
        <v>21</v>
      </c>
      <c r="C403" s="12" t="s">
        <v>22</v>
      </c>
      <c r="D403" s="3" t="s">
        <v>10</v>
      </c>
      <c r="E403" s="44">
        <f>'Kalkulace a Porovnání'!E403</f>
        <v>0</v>
      </c>
      <c r="F403" s="44">
        <f>'Kalkulace a Porovnání'!F403</f>
        <v>0</v>
      </c>
      <c r="G403" s="44">
        <f>'Kalkulace a Porovnání'!G403</f>
        <v>0</v>
      </c>
      <c r="H403" s="30">
        <f>'Kalkulace a Porovnání'!H403</f>
        <v>0</v>
      </c>
      <c r="K403" s="12" t="s">
        <v>21</v>
      </c>
      <c r="L403" s="12" t="s">
        <v>22</v>
      </c>
      <c r="M403" s="3" t="s">
        <v>10</v>
      </c>
      <c r="N403" s="44">
        <f>'Kalkulace a Porovnání'!N403</f>
        <v>0</v>
      </c>
      <c r="O403" s="44">
        <f>'Kalkulace a Porovnání'!O403</f>
        <v>0</v>
      </c>
      <c r="P403" s="44">
        <f>'Kalkulace a Porovnání'!P403</f>
        <v>0</v>
      </c>
      <c r="Q403" s="30">
        <f>'Kalkulace a Porovnání'!Q403</f>
        <v>0</v>
      </c>
      <c r="T403" s="12" t="s">
        <v>21</v>
      </c>
      <c r="U403" s="12" t="s">
        <v>22</v>
      </c>
      <c r="V403" s="3" t="s">
        <v>10</v>
      </c>
      <c r="W403" s="44">
        <f>'Kalkulace a Porovnání'!W403</f>
        <v>0</v>
      </c>
      <c r="X403" s="44">
        <f>'Kalkulace a Porovnání'!X403</f>
        <v>0</v>
      </c>
      <c r="Y403" s="44">
        <f>'Kalkulace a Porovnání'!Y403</f>
        <v>0</v>
      </c>
      <c r="Z403" s="44">
        <f>'Kalkulace a Porovnání'!Z403</f>
        <v>0</v>
      </c>
      <c r="AA403" s="44">
        <f>'Kalkulace a Porovnání'!AA403</f>
        <v>0</v>
      </c>
      <c r="AB403" s="30">
        <f>'Kalkulace a Porovnání'!AB403</f>
        <v>0</v>
      </c>
      <c r="AC403" s="146"/>
      <c r="AD403" s="428"/>
      <c r="AG403" s="252"/>
      <c r="AH403" s="252"/>
      <c r="AI403" s="252"/>
      <c r="AJ403" s="252"/>
      <c r="AK403" s="428"/>
      <c r="AL403" s="146"/>
    </row>
    <row r="404" spans="2:38" x14ac:dyDescent="0.25">
      <c r="B404" s="12" t="s">
        <v>23</v>
      </c>
      <c r="C404" s="12" t="s">
        <v>24</v>
      </c>
      <c r="D404" s="3" t="s">
        <v>10</v>
      </c>
      <c r="E404" s="44">
        <f>'Kalkulace a Porovnání'!E404</f>
        <v>0</v>
      </c>
      <c r="F404" s="44">
        <f>'Kalkulace a Porovnání'!F404</f>
        <v>0</v>
      </c>
      <c r="G404" s="44">
        <f>'Kalkulace a Porovnání'!G404</f>
        <v>0</v>
      </c>
      <c r="H404" s="30">
        <f>'Kalkulace a Porovnání'!H404</f>
        <v>0</v>
      </c>
      <c r="K404" s="12" t="s">
        <v>23</v>
      </c>
      <c r="L404" s="12" t="s">
        <v>24</v>
      </c>
      <c r="M404" s="3" t="s">
        <v>10</v>
      </c>
      <c r="N404" s="44">
        <f>'Kalkulace a Porovnání'!N404</f>
        <v>0</v>
      </c>
      <c r="O404" s="44">
        <f>'Kalkulace a Porovnání'!O404</f>
        <v>0</v>
      </c>
      <c r="P404" s="44">
        <f>'Kalkulace a Porovnání'!P404</f>
        <v>0</v>
      </c>
      <c r="Q404" s="30">
        <f>'Kalkulace a Porovnání'!Q404</f>
        <v>0</v>
      </c>
      <c r="T404" s="12" t="s">
        <v>23</v>
      </c>
      <c r="U404" s="12" t="s">
        <v>24</v>
      </c>
      <c r="V404" s="3" t="s">
        <v>10</v>
      </c>
      <c r="W404" s="44">
        <f>'Kalkulace a Porovnání'!W404</f>
        <v>0</v>
      </c>
      <c r="X404" s="44">
        <f>'Kalkulace a Porovnání'!X404</f>
        <v>0</v>
      </c>
      <c r="Y404" s="44">
        <f>'Kalkulace a Porovnání'!Y404</f>
        <v>0</v>
      </c>
      <c r="Z404" s="44">
        <f>'Kalkulace a Porovnání'!Z404</f>
        <v>0</v>
      </c>
      <c r="AA404" s="44">
        <f>'Kalkulace a Porovnání'!AA404</f>
        <v>0</v>
      </c>
      <c r="AB404" s="30">
        <f>'Kalkulace a Porovnání'!AB404</f>
        <v>0</v>
      </c>
      <c r="AC404" s="146"/>
      <c r="AD404" s="428"/>
      <c r="AG404" s="252"/>
      <c r="AH404" s="252"/>
      <c r="AI404" s="252"/>
      <c r="AJ404" s="252"/>
      <c r="AK404" s="428"/>
      <c r="AL404" s="146"/>
    </row>
    <row r="405" spans="2:38" x14ac:dyDescent="0.25">
      <c r="B405" s="9" t="s">
        <v>25</v>
      </c>
      <c r="C405" s="10" t="s">
        <v>400</v>
      </c>
      <c r="D405" s="11" t="s">
        <v>10</v>
      </c>
      <c r="E405" s="41">
        <f>'Kalkulace a Porovnání'!E405</f>
        <v>0</v>
      </c>
      <c r="F405" s="41">
        <f>'Kalkulace a Porovnání'!F405</f>
        <v>0</v>
      </c>
      <c r="G405" s="41">
        <f>'Kalkulace a Porovnání'!G405</f>
        <v>0</v>
      </c>
      <c r="H405" s="86">
        <f>'Kalkulace a Porovnání'!H405</f>
        <v>0</v>
      </c>
      <c r="K405" s="9" t="s">
        <v>25</v>
      </c>
      <c r="L405" s="10" t="s">
        <v>400</v>
      </c>
      <c r="M405" s="11" t="s">
        <v>10</v>
      </c>
      <c r="N405" s="41">
        <f>'Kalkulace a Porovnání'!N405</f>
        <v>0</v>
      </c>
      <c r="O405" s="41">
        <f>'Kalkulace a Porovnání'!O405</f>
        <v>0</v>
      </c>
      <c r="P405" s="41">
        <f>'Kalkulace a Porovnání'!P405</f>
        <v>0</v>
      </c>
      <c r="Q405" s="86">
        <f>'Kalkulace a Porovnání'!Q405</f>
        <v>0</v>
      </c>
      <c r="T405" s="9" t="s">
        <v>25</v>
      </c>
      <c r="U405" s="10" t="s">
        <v>400</v>
      </c>
      <c r="V405" s="11" t="s">
        <v>10</v>
      </c>
      <c r="W405" s="41">
        <f>'Kalkulace a Porovnání'!W405</f>
        <v>0</v>
      </c>
      <c r="X405" s="41">
        <f>'Kalkulace a Porovnání'!X405</f>
        <v>0</v>
      </c>
      <c r="Y405" s="41">
        <f>'Kalkulace a Porovnání'!Y405</f>
        <v>0</v>
      </c>
      <c r="Z405" s="41">
        <f>'Kalkulace a Porovnání'!Z405</f>
        <v>0</v>
      </c>
      <c r="AA405" s="41">
        <f>'Kalkulace a Porovnání'!AA405</f>
        <v>0</v>
      </c>
      <c r="AB405" s="86">
        <f>'Kalkulace a Porovnání'!AB405</f>
        <v>0</v>
      </c>
      <c r="AC405" s="146"/>
      <c r="AD405" s="428"/>
      <c r="AG405" s="252"/>
      <c r="AH405" s="252"/>
      <c r="AI405" s="252"/>
      <c r="AJ405" s="252"/>
      <c r="AK405" s="428"/>
      <c r="AL405" s="146"/>
    </row>
    <row r="406" spans="2:38" x14ac:dyDescent="0.25">
      <c r="B406" s="12" t="s">
        <v>26</v>
      </c>
      <c r="C406" s="13" t="s">
        <v>390</v>
      </c>
      <c r="D406" s="3" t="s">
        <v>10</v>
      </c>
      <c r="E406" s="44">
        <f>'Kalkulace a Porovnání'!E406</f>
        <v>0</v>
      </c>
      <c r="F406" s="44">
        <f>'Kalkulace a Porovnání'!F406</f>
        <v>0</v>
      </c>
      <c r="G406" s="44">
        <f>'Kalkulace a Porovnání'!G406</f>
        <v>0</v>
      </c>
      <c r="H406" s="30">
        <f>'Kalkulace a Porovnání'!H406</f>
        <v>0</v>
      </c>
      <c r="K406" s="12" t="s">
        <v>26</v>
      </c>
      <c r="L406" s="13" t="s">
        <v>390</v>
      </c>
      <c r="M406" s="3" t="s">
        <v>10</v>
      </c>
      <c r="N406" s="44">
        <f>'Kalkulace a Porovnání'!N406</f>
        <v>0</v>
      </c>
      <c r="O406" s="44">
        <f>'Kalkulace a Porovnání'!O406</f>
        <v>0</v>
      </c>
      <c r="P406" s="44">
        <f>'Kalkulace a Porovnání'!P406</f>
        <v>0</v>
      </c>
      <c r="Q406" s="30">
        <f>'Kalkulace a Porovnání'!Q406</f>
        <v>0</v>
      </c>
      <c r="T406" s="12" t="s">
        <v>26</v>
      </c>
      <c r="U406" s="13" t="s">
        <v>390</v>
      </c>
      <c r="V406" s="3" t="s">
        <v>10</v>
      </c>
      <c r="W406" s="44">
        <f>'Kalkulace a Porovnání'!W406</f>
        <v>0</v>
      </c>
      <c r="X406" s="44">
        <f>'Kalkulace a Porovnání'!X406</f>
        <v>0</v>
      </c>
      <c r="Y406" s="44">
        <f>'Kalkulace a Porovnání'!Y406</f>
        <v>0</v>
      </c>
      <c r="Z406" s="44">
        <f>'Kalkulace a Porovnání'!Z406</f>
        <v>0</v>
      </c>
      <c r="AA406" s="44">
        <f>'Kalkulace a Porovnání'!AA406</f>
        <v>0</v>
      </c>
      <c r="AB406" s="30">
        <f>'Kalkulace a Porovnání'!AB406</f>
        <v>0</v>
      </c>
      <c r="AC406" s="146"/>
      <c r="AD406" s="428"/>
      <c r="AG406" s="252"/>
      <c r="AH406" s="252"/>
      <c r="AI406" s="252"/>
      <c r="AJ406" s="252"/>
      <c r="AK406" s="428"/>
      <c r="AL406" s="146"/>
    </row>
    <row r="407" spans="2:38" x14ac:dyDescent="0.25">
      <c r="B407" s="12" t="s">
        <v>27</v>
      </c>
      <c r="C407" s="13" t="s">
        <v>401</v>
      </c>
      <c r="D407" s="3" t="s">
        <v>10</v>
      </c>
      <c r="E407" s="44">
        <f>'Kalkulace a Porovnání'!E407</f>
        <v>0</v>
      </c>
      <c r="F407" s="44">
        <f>'Kalkulace a Porovnání'!F407</f>
        <v>0</v>
      </c>
      <c r="G407" s="44">
        <f>'Kalkulace a Porovnání'!G407</f>
        <v>0</v>
      </c>
      <c r="H407" s="30">
        <f>'Kalkulace a Porovnání'!H407</f>
        <v>0</v>
      </c>
      <c r="K407" s="12" t="s">
        <v>27</v>
      </c>
      <c r="L407" s="13" t="s">
        <v>401</v>
      </c>
      <c r="M407" s="3" t="s">
        <v>10</v>
      </c>
      <c r="N407" s="44">
        <f>'Kalkulace a Porovnání'!N407</f>
        <v>0</v>
      </c>
      <c r="O407" s="44">
        <f>'Kalkulace a Porovnání'!O407</f>
        <v>0</v>
      </c>
      <c r="P407" s="44">
        <f>'Kalkulace a Porovnání'!P407</f>
        <v>0</v>
      </c>
      <c r="Q407" s="30">
        <f>'Kalkulace a Porovnání'!Q407</f>
        <v>0</v>
      </c>
      <c r="T407" s="12" t="s">
        <v>27</v>
      </c>
      <c r="U407" s="13" t="s">
        <v>401</v>
      </c>
      <c r="V407" s="3" t="s">
        <v>10</v>
      </c>
      <c r="W407" s="44">
        <f>'Kalkulace a Porovnání'!W407</f>
        <v>0</v>
      </c>
      <c r="X407" s="44">
        <f>'Kalkulace a Porovnání'!X407</f>
        <v>0</v>
      </c>
      <c r="Y407" s="44">
        <f>'Kalkulace a Porovnání'!Y407</f>
        <v>0</v>
      </c>
      <c r="Z407" s="44">
        <f>'Kalkulace a Porovnání'!Z407</f>
        <v>0</v>
      </c>
      <c r="AA407" s="44">
        <f>'Kalkulace a Porovnání'!AA407</f>
        <v>0</v>
      </c>
      <c r="AB407" s="30">
        <f>'Kalkulace a Porovnání'!AB407</f>
        <v>0</v>
      </c>
      <c r="AC407" s="146"/>
      <c r="AD407" s="428"/>
      <c r="AG407" s="252"/>
      <c r="AH407" s="252"/>
      <c r="AI407" s="252"/>
      <c r="AJ407" s="252"/>
      <c r="AK407" s="428"/>
      <c r="AL407" s="146"/>
    </row>
    <row r="408" spans="2:38" x14ac:dyDescent="0.25">
      <c r="B408" s="9" t="s">
        <v>28</v>
      </c>
      <c r="C408" s="10" t="s">
        <v>29</v>
      </c>
      <c r="D408" s="11" t="s">
        <v>10</v>
      </c>
      <c r="E408" s="41">
        <f>'Kalkulace a Porovnání'!E408</f>
        <v>0</v>
      </c>
      <c r="F408" s="41">
        <f>'Kalkulace a Porovnání'!F408</f>
        <v>0</v>
      </c>
      <c r="G408" s="41">
        <f>'Kalkulace a Porovnání'!G408</f>
        <v>0</v>
      </c>
      <c r="H408" s="86">
        <f>'Kalkulace a Porovnání'!H408</f>
        <v>0</v>
      </c>
      <c r="K408" s="9" t="s">
        <v>28</v>
      </c>
      <c r="L408" s="10" t="s">
        <v>29</v>
      </c>
      <c r="M408" s="11" t="s">
        <v>10</v>
      </c>
      <c r="N408" s="41">
        <f>'Kalkulace a Porovnání'!N408</f>
        <v>0</v>
      </c>
      <c r="O408" s="41">
        <f>'Kalkulace a Porovnání'!O408</f>
        <v>0</v>
      </c>
      <c r="P408" s="41">
        <f>'Kalkulace a Porovnání'!P408</f>
        <v>0</v>
      </c>
      <c r="Q408" s="86">
        <f>'Kalkulace a Porovnání'!Q408</f>
        <v>0</v>
      </c>
      <c r="T408" s="9" t="s">
        <v>28</v>
      </c>
      <c r="U408" s="10" t="s">
        <v>29</v>
      </c>
      <c r="V408" s="11" t="s">
        <v>10</v>
      </c>
      <c r="W408" s="41">
        <f>'Kalkulace a Porovnání'!W408</f>
        <v>0</v>
      </c>
      <c r="X408" s="41">
        <f>'Kalkulace a Porovnání'!X408</f>
        <v>0</v>
      </c>
      <c r="Y408" s="41">
        <f>'Kalkulace a Porovnání'!Y408</f>
        <v>0</v>
      </c>
      <c r="Z408" s="41">
        <f>'Kalkulace a Porovnání'!Z408</f>
        <v>0</v>
      </c>
      <c r="AA408" s="41">
        <f>'Kalkulace a Porovnání'!AA408</f>
        <v>0</v>
      </c>
      <c r="AB408" s="86">
        <f>'Kalkulace a Porovnání'!AB408</f>
        <v>0</v>
      </c>
      <c r="AC408" s="146"/>
      <c r="AD408" s="428"/>
      <c r="AG408" s="252"/>
      <c r="AH408" s="252"/>
      <c r="AI408" s="252"/>
      <c r="AJ408" s="252"/>
      <c r="AK408" s="428"/>
      <c r="AL408" s="146"/>
    </row>
    <row r="409" spans="2:38" x14ac:dyDescent="0.25">
      <c r="B409" s="12" t="s">
        <v>30</v>
      </c>
      <c r="C409" s="21" t="s">
        <v>381</v>
      </c>
      <c r="D409" s="3" t="s">
        <v>10</v>
      </c>
      <c r="E409" s="44">
        <f>'Kalkulace a Porovnání'!E409</f>
        <v>0</v>
      </c>
      <c r="F409" s="44">
        <f>'Kalkulace a Porovnání'!F409</f>
        <v>0</v>
      </c>
      <c r="G409" s="44">
        <f>'Kalkulace a Porovnání'!G409</f>
        <v>0</v>
      </c>
      <c r="H409" s="30">
        <f>'Kalkulace a Porovnání'!H409</f>
        <v>0</v>
      </c>
      <c r="K409" s="12" t="s">
        <v>30</v>
      </c>
      <c r="L409" s="21" t="s">
        <v>381</v>
      </c>
      <c r="M409" s="3" t="s">
        <v>10</v>
      </c>
      <c r="N409" s="44">
        <f>'Kalkulace a Porovnání'!N409</f>
        <v>0</v>
      </c>
      <c r="O409" s="44">
        <f>'Kalkulace a Porovnání'!O409</f>
        <v>0</v>
      </c>
      <c r="P409" s="44">
        <f>'Kalkulace a Porovnání'!P409</f>
        <v>0</v>
      </c>
      <c r="Q409" s="30">
        <f>'Kalkulace a Porovnání'!Q409</f>
        <v>0</v>
      </c>
      <c r="T409" s="12" t="s">
        <v>30</v>
      </c>
      <c r="U409" s="21" t="s">
        <v>381</v>
      </c>
      <c r="V409" s="3" t="s">
        <v>10</v>
      </c>
      <c r="W409" s="44">
        <f>'Kalkulace a Porovnání'!W409</f>
        <v>0</v>
      </c>
      <c r="X409" s="44">
        <f>'Kalkulace a Porovnání'!X409</f>
        <v>0</v>
      </c>
      <c r="Y409" s="44">
        <f>'Kalkulace a Porovnání'!Y409</f>
        <v>0</v>
      </c>
      <c r="Z409" s="44">
        <f>'Kalkulace a Porovnání'!Z409</f>
        <v>0</v>
      </c>
      <c r="AA409" s="44">
        <f>'Kalkulace a Porovnání'!AA409</f>
        <v>0</v>
      </c>
      <c r="AB409" s="30">
        <f>'Kalkulace a Porovnání'!AB409</f>
        <v>0</v>
      </c>
      <c r="AC409" s="146"/>
      <c r="AD409" s="428"/>
      <c r="AG409" s="428"/>
      <c r="AH409" s="428"/>
      <c r="AI409" s="252"/>
      <c r="AJ409" s="252"/>
      <c r="AK409" s="428"/>
      <c r="AL409" s="146"/>
    </row>
    <row r="410" spans="2:38" x14ac:dyDescent="0.25">
      <c r="B410" s="12" t="s">
        <v>32</v>
      </c>
      <c r="C410" s="13" t="s">
        <v>383</v>
      </c>
      <c r="D410" s="3" t="s">
        <v>10</v>
      </c>
      <c r="E410" s="44">
        <f>'Kalkulace a Porovnání'!E410</f>
        <v>0</v>
      </c>
      <c r="F410" s="44">
        <f>'Kalkulace a Porovnání'!F410</f>
        <v>0</v>
      </c>
      <c r="G410" s="44">
        <f>'Kalkulace a Porovnání'!G410</f>
        <v>0</v>
      </c>
      <c r="H410" s="30">
        <f>'Kalkulace a Porovnání'!H410</f>
        <v>0</v>
      </c>
      <c r="K410" s="12" t="s">
        <v>32</v>
      </c>
      <c r="L410" s="13" t="s">
        <v>383</v>
      </c>
      <c r="M410" s="3" t="s">
        <v>10</v>
      </c>
      <c r="N410" s="44">
        <f>'Kalkulace a Porovnání'!N410</f>
        <v>0</v>
      </c>
      <c r="O410" s="44">
        <f>'Kalkulace a Porovnání'!O410</f>
        <v>0</v>
      </c>
      <c r="P410" s="44">
        <f>'Kalkulace a Porovnání'!P410</f>
        <v>0</v>
      </c>
      <c r="Q410" s="30">
        <f>'Kalkulace a Porovnání'!Q410</f>
        <v>0</v>
      </c>
      <c r="T410" s="12" t="s">
        <v>32</v>
      </c>
      <c r="U410" s="13" t="s">
        <v>383</v>
      </c>
      <c r="V410" s="3" t="s">
        <v>10</v>
      </c>
      <c r="W410" s="44">
        <f>'Kalkulace a Porovnání'!W410</f>
        <v>0</v>
      </c>
      <c r="X410" s="44">
        <f>'Kalkulace a Porovnání'!X410</f>
        <v>0</v>
      </c>
      <c r="Y410" s="44">
        <f>'Kalkulace a Porovnání'!Y410</f>
        <v>0</v>
      </c>
      <c r="Z410" s="44">
        <f>'Kalkulace a Porovnání'!Z410</f>
        <v>0</v>
      </c>
      <c r="AA410" s="44">
        <f>'Kalkulace a Porovnání'!AA410</f>
        <v>0</v>
      </c>
      <c r="AB410" s="30">
        <f>'Kalkulace a Porovnání'!AB410</f>
        <v>0</v>
      </c>
      <c r="AC410" s="146"/>
      <c r="AD410" s="428"/>
      <c r="AG410" s="428"/>
      <c r="AH410" s="428"/>
      <c r="AI410" s="252"/>
      <c r="AJ410" s="252"/>
      <c r="AK410" s="428"/>
      <c r="AL410" s="146"/>
    </row>
    <row r="411" spans="2:38" x14ac:dyDescent="0.25">
      <c r="B411" s="12" t="s">
        <v>33</v>
      </c>
      <c r="C411" s="13" t="s">
        <v>382</v>
      </c>
      <c r="D411" s="3" t="s">
        <v>10</v>
      </c>
      <c r="E411" s="44">
        <f>'Kalkulace a Porovnání'!E411</f>
        <v>0</v>
      </c>
      <c r="F411" s="44">
        <f>'Kalkulace a Porovnání'!F411</f>
        <v>0</v>
      </c>
      <c r="G411" s="44">
        <f>'Kalkulace a Porovnání'!G411</f>
        <v>0</v>
      </c>
      <c r="H411" s="30">
        <f>'Kalkulace a Porovnání'!H411</f>
        <v>0</v>
      </c>
      <c r="K411" s="12" t="s">
        <v>33</v>
      </c>
      <c r="L411" s="13" t="s">
        <v>382</v>
      </c>
      <c r="M411" s="3" t="s">
        <v>10</v>
      </c>
      <c r="N411" s="44">
        <f>'Kalkulace a Porovnání'!N411</f>
        <v>0</v>
      </c>
      <c r="O411" s="44">
        <f>'Kalkulace a Porovnání'!O411</f>
        <v>0</v>
      </c>
      <c r="P411" s="44">
        <f>'Kalkulace a Porovnání'!P411</f>
        <v>0</v>
      </c>
      <c r="Q411" s="30">
        <f>'Kalkulace a Porovnání'!Q411</f>
        <v>0</v>
      </c>
      <c r="T411" s="12" t="s">
        <v>33</v>
      </c>
      <c r="U411" s="13" t="s">
        <v>382</v>
      </c>
      <c r="V411" s="3" t="s">
        <v>10</v>
      </c>
      <c r="W411" s="44">
        <f>'Kalkulace a Porovnání'!W411</f>
        <v>0</v>
      </c>
      <c r="X411" s="44">
        <f>'Kalkulace a Porovnání'!X411</f>
        <v>0</v>
      </c>
      <c r="Y411" s="44">
        <f>'Kalkulace a Porovnání'!Y411</f>
        <v>0</v>
      </c>
      <c r="Z411" s="44">
        <f>'Kalkulace a Porovnání'!Z411</f>
        <v>0</v>
      </c>
      <c r="AA411" s="44">
        <f>'Kalkulace a Porovnání'!AA411</f>
        <v>0</v>
      </c>
      <c r="AB411" s="30">
        <f>'Kalkulace a Porovnání'!AB411</f>
        <v>0</v>
      </c>
      <c r="AC411" s="146"/>
      <c r="AD411" s="428"/>
      <c r="AG411" s="252"/>
      <c r="AH411" s="252"/>
      <c r="AI411" s="252"/>
      <c r="AJ411" s="252"/>
      <c r="AK411" s="428"/>
      <c r="AL411" s="146"/>
    </row>
    <row r="412" spans="2:38" x14ac:dyDescent="0.25">
      <c r="B412" s="12" t="s">
        <v>34</v>
      </c>
      <c r="C412" s="21" t="s">
        <v>384</v>
      </c>
      <c r="D412" s="3" t="s">
        <v>10</v>
      </c>
      <c r="E412" s="44">
        <f>'Kalkulace a Porovnání'!E412</f>
        <v>0</v>
      </c>
      <c r="F412" s="44">
        <f>'Kalkulace a Porovnání'!F412</f>
        <v>0</v>
      </c>
      <c r="G412" s="44">
        <f>'Kalkulace a Porovnání'!G412</f>
        <v>0</v>
      </c>
      <c r="H412" s="30">
        <f>'Kalkulace a Porovnání'!H412</f>
        <v>0</v>
      </c>
      <c r="K412" s="12" t="s">
        <v>34</v>
      </c>
      <c r="L412" s="21" t="s">
        <v>384</v>
      </c>
      <c r="M412" s="3" t="s">
        <v>10</v>
      </c>
      <c r="N412" s="44">
        <f>'Kalkulace a Porovnání'!N412</f>
        <v>0</v>
      </c>
      <c r="O412" s="44">
        <f>'Kalkulace a Porovnání'!O412</f>
        <v>0</v>
      </c>
      <c r="P412" s="44">
        <f>'Kalkulace a Porovnání'!P412</f>
        <v>0</v>
      </c>
      <c r="Q412" s="30">
        <f>'Kalkulace a Porovnání'!Q412</f>
        <v>0</v>
      </c>
      <c r="T412" s="12" t="s">
        <v>34</v>
      </c>
      <c r="U412" s="21" t="s">
        <v>384</v>
      </c>
      <c r="V412" s="3" t="s">
        <v>10</v>
      </c>
      <c r="W412" s="44">
        <f>'Kalkulace a Porovnání'!W412</f>
        <v>0</v>
      </c>
      <c r="X412" s="44">
        <f>'Kalkulace a Porovnání'!X412</f>
        <v>0</v>
      </c>
      <c r="Y412" s="44">
        <f>'Kalkulace a Porovnání'!Y412</f>
        <v>0</v>
      </c>
      <c r="Z412" s="44">
        <f>'Kalkulace a Porovnání'!Z412</f>
        <v>0</v>
      </c>
      <c r="AA412" s="44">
        <f>'Kalkulace a Porovnání'!AA412</f>
        <v>0</v>
      </c>
      <c r="AB412" s="30">
        <f>'Kalkulace a Porovnání'!AB412</f>
        <v>0</v>
      </c>
      <c r="AC412" s="146"/>
      <c r="AD412" s="428"/>
      <c r="AG412" s="252"/>
      <c r="AH412" s="252"/>
      <c r="AI412" s="252"/>
      <c r="AJ412" s="252"/>
      <c r="AK412" s="428"/>
      <c r="AL412" s="146"/>
    </row>
    <row r="413" spans="2:38" x14ac:dyDescent="0.25">
      <c r="B413" s="9" t="s">
        <v>35</v>
      </c>
      <c r="C413" s="10" t="s">
        <v>387</v>
      </c>
      <c r="D413" s="11" t="s">
        <v>10</v>
      </c>
      <c r="E413" s="41">
        <f>'Kalkulace a Porovnání'!E413</f>
        <v>0</v>
      </c>
      <c r="F413" s="41">
        <f>'Kalkulace a Porovnání'!F413</f>
        <v>0</v>
      </c>
      <c r="G413" s="41">
        <f>'Kalkulace a Porovnání'!G413</f>
        <v>0</v>
      </c>
      <c r="H413" s="86">
        <f>'Kalkulace a Porovnání'!H413</f>
        <v>0</v>
      </c>
      <c r="K413" s="9" t="s">
        <v>35</v>
      </c>
      <c r="L413" s="10" t="s">
        <v>387</v>
      </c>
      <c r="M413" s="11" t="s">
        <v>10</v>
      </c>
      <c r="N413" s="41">
        <f>'Kalkulace a Porovnání'!N413</f>
        <v>0</v>
      </c>
      <c r="O413" s="41">
        <f>'Kalkulace a Porovnání'!O413</f>
        <v>0</v>
      </c>
      <c r="P413" s="41">
        <f>'Kalkulace a Porovnání'!P413</f>
        <v>0</v>
      </c>
      <c r="Q413" s="86">
        <f>'Kalkulace a Porovnání'!Q413</f>
        <v>0</v>
      </c>
      <c r="T413" s="9" t="s">
        <v>35</v>
      </c>
      <c r="U413" s="10" t="s">
        <v>387</v>
      </c>
      <c r="V413" s="11" t="s">
        <v>10</v>
      </c>
      <c r="W413" s="41">
        <f>'Kalkulace a Porovnání'!W413</f>
        <v>0</v>
      </c>
      <c r="X413" s="41">
        <f>'Kalkulace a Porovnání'!X413</f>
        <v>0</v>
      </c>
      <c r="Y413" s="41">
        <f>'Kalkulace a Porovnání'!Y413</f>
        <v>0</v>
      </c>
      <c r="Z413" s="41">
        <f>'Kalkulace a Porovnání'!Z413</f>
        <v>0</v>
      </c>
      <c r="AA413" s="41">
        <f>'Kalkulace a Porovnání'!AA413</f>
        <v>0</v>
      </c>
      <c r="AB413" s="86">
        <f>'Kalkulace a Porovnání'!AB413</f>
        <v>0</v>
      </c>
      <c r="AC413" s="146"/>
      <c r="AD413" s="428"/>
      <c r="AG413" s="429"/>
      <c r="AH413" s="429"/>
      <c r="AI413" s="252"/>
      <c r="AJ413" s="252"/>
      <c r="AK413" s="428"/>
      <c r="AL413" s="146"/>
    </row>
    <row r="414" spans="2:38" x14ac:dyDescent="0.25">
      <c r="B414" s="12" t="s">
        <v>37</v>
      </c>
      <c r="C414" s="13" t="s">
        <v>38</v>
      </c>
      <c r="D414" s="3" t="s">
        <v>10</v>
      </c>
      <c r="E414" s="44">
        <f>'Kalkulace a Porovnání'!E414</f>
        <v>0</v>
      </c>
      <c r="F414" s="44">
        <f>'Kalkulace a Porovnání'!F414</f>
        <v>0</v>
      </c>
      <c r="G414" s="44">
        <f>'Kalkulace a Porovnání'!G414</f>
        <v>0</v>
      </c>
      <c r="H414" s="30">
        <f>'Kalkulace a Porovnání'!H414</f>
        <v>0</v>
      </c>
      <c r="K414" s="12" t="s">
        <v>37</v>
      </c>
      <c r="L414" s="13" t="s">
        <v>38</v>
      </c>
      <c r="M414" s="3" t="s">
        <v>10</v>
      </c>
      <c r="N414" s="44">
        <f>'Kalkulace a Porovnání'!N414</f>
        <v>0</v>
      </c>
      <c r="O414" s="44">
        <f>'Kalkulace a Porovnání'!O414</f>
        <v>0</v>
      </c>
      <c r="P414" s="44">
        <f>'Kalkulace a Porovnání'!P414</f>
        <v>0</v>
      </c>
      <c r="Q414" s="30">
        <f>'Kalkulace a Porovnání'!Q414</f>
        <v>0</v>
      </c>
      <c r="T414" s="12" t="s">
        <v>37</v>
      </c>
      <c r="U414" s="13" t="s">
        <v>38</v>
      </c>
      <c r="V414" s="3" t="s">
        <v>10</v>
      </c>
      <c r="W414" s="44">
        <f>'Kalkulace a Porovnání'!W414</f>
        <v>0</v>
      </c>
      <c r="X414" s="44">
        <f>'Kalkulace a Porovnání'!X414</f>
        <v>0</v>
      </c>
      <c r="Y414" s="44">
        <f>'Kalkulace a Porovnání'!Y414</f>
        <v>0</v>
      </c>
      <c r="Z414" s="44">
        <f>'Kalkulace a Porovnání'!Z414</f>
        <v>0</v>
      </c>
      <c r="AA414" s="44">
        <f>'Kalkulace a Porovnání'!AA414</f>
        <v>0</v>
      </c>
      <c r="AB414" s="30">
        <f>'Kalkulace a Porovnání'!AB414</f>
        <v>0</v>
      </c>
      <c r="AC414" s="146"/>
      <c r="AD414" s="428"/>
      <c r="AG414" s="1119"/>
      <c r="AH414" s="1119"/>
      <c r="AI414" s="252"/>
      <c r="AJ414" s="252"/>
      <c r="AK414" s="428"/>
      <c r="AL414" s="146"/>
    </row>
    <row r="415" spans="2:38" x14ac:dyDescent="0.25">
      <c r="B415" s="12" t="s">
        <v>39</v>
      </c>
      <c r="C415" s="12" t="s">
        <v>40</v>
      </c>
      <c r="D415" s="3" t="s">
        <v>10</v>
      </c>
      <c r="E415" s="44">
        <f>'Kalkulace a Porovnání'!E415</f>
        <v>0</v>
      </c>
      <c r="F415" s="44">
        <f>'Kalkulace a Porovnání'!F415</f>
        <v>0</v>
      </c>
      <c r="G415" s="44">
        <f>'Kalkulace a Porovnání'!G415</f>
        <v>0</v>
      </c>
      <c r="H415" s="30">
        <f>'Kalkulace a Porovnání'!H415</f>
        <v>0</v>
      </c>
      <c r="K415" s="12" t="s">
        <v>39</v>
      </c>
      <c r="L415" s="12" t="s">
        <v>40</v>
      </c>
      <c r="M415" s="3" t="s">
        <v>10</v>
      </c>
      <c r="N415" s="44">
        <f>'Kalkulace a Porovnání'!N415</f>
        <v>0</v>
      </c>
      <c r="O415" s="44">
        <f>'Kalkulace a Porovnání'!O415</f>
        <v>0</v>
      </c>
      <c r="P415" s="44">
        <f>'Kalkulace a Porovnání'!P415</f>
        <v>0</v>
      </c>
      <c r="Q415" s="30">
        <f>'Kalkulace a Porovnání'!Q415</f>
        <v>0</v>
      </c>
      <c r="T415" s="12" t="s">
        <v>39</v>
      </c>
      <c r="U415" s="12" t="s">
        <v>40</v>
      </c>
      <c r="V415" s="3" t="s">
        <v>10</v>
      </c>
      <c r="W415" s="44">
        <f>'Kalkulace a Porovnání'!W415</f>
        <v>0</v>
      </c>
      <c r="X415" s="44">
        <f>'Kalkulace a Porovnání'!X415</f>
        <v>0</v>
      </c>
      <c r="Y415" s="44">
        <f>'Kalkulace a Porovnání'!Y415</f>
        <v>0</v>
      </c>
      <c r="Z415" s="44">
        <f>'Kalkulace a Porovnání'!Z415</f>
        <v>0</v>
      </c>
      <c r="AA415" s="44">
        <f>'Kalkulace a Porovnání'!AA415</f>
        <v>0</v>
      </c>
      <c r="AB415" s="30">
        <f>'Kalkulace a Porovnání'!AB415</f>
        <v>0</v>
      </c>
      <c r="AC415" s="146"/>
      <c r="AD415" s="428"/>
      <c r="AG415" s="1119"/>
      <c r="AH415" s="1119"/>
      <c r="AI415" s="252"/>
      <c r="AJ415" s="252"/>
      <c r="AK415" s="428"/>
      <c r="AL415" s="146"/>
    </row>
    <row r="416" spans="2:38" x14ac:dyDescent="0.25">
      <c r="B416" s="12" t="s">
        <v>41</v>
      </c>
      <c r="C416" s="13" t="s">
        <v>42</v>
      </c>
      <c r="D416" s="3" t="s">
        <v>10</v>
      </c>
      <c r="E416" s="44">
        <f>'Kalkulace a Porovnání'!E416</f>
        <v>0</v>
      </c>
      <c r="F416" s="44">
        <f>'Kalkulace a Porovnání'!F416</f>
        <v>0</v>
      </c>
      <c r="G416" s="44">
        <f>'Kalkulace a Porovnání'!G416</f>
        <v>0</v>
      </c>
      <c r="H416" s="30">
        <f>'Kalkulace a Porovnání'!H416</f>
        <v>0</v>
      </c>
      <c r="K416" s="12" t="s">
        <v>41</v>
      </c>
      <c r="L416" s="13" t="s">
        <v>42</v>
      </c>
      <c r="M416" s="3" t="s">
        <v>10</v>
      </c>
      <c r="N416" s="44">
        <f>'Kalkulace a Porovnání'!N416</f>
        <v>0</v>
      </c>
      <c r="O416" s="44">
        <f>'Kalkulace a Porovnání'!O416</f>
        <v>0</v>
      </c>
      <c r="P416" s="44">
        <f>'Kalkulace a Porovnání'!P416</f>
        <v>0</v>
      </c>
      <c r="Q416" s="30">
        <f>'Kalkulace a Porovnání'!Q416</f>
        <v>0</v>
      </c>
      <c r="T416" s="12" t="s">
        <v>41</v>
      </c>
      <c r="U416" s="13" t="s">
        <v>42</v>
      </c>
      <c r="V416" s="3" t="s">
        <v>10</v>
      </c>
      <c r="W416" s="44">
        <f>'Kalkulace a Porovnání'!W416</f>
        <v>0</v>
      </c>
      <c r="X416" s="44">
        <f>'Kalkulace a Porovnání'!X416</f>
        <v>0</v>
      </c>
      <c r="Y416" s="44">
        <f>'Kalkulace a Porovnání'!Y416</f>
        <v>0</v>
      </c>
      <c r="Z416" s="44">
        <f>'Kalkulace a Porovnání'!Z416</f>
        <v>0</v>
      </c>
      <c r="AA416" s="44">
        <f>'Kalkulace a Porovnání'!AA416</f>
        <v>0</v>
      </c>
      <c r="AB416" s="30">
        <f>'Kalkulace a Porovnání'!AB416</f>
        <v>0</v>
      </c>
      <c r="AC416" s="146"/>
      <c r="AD416" s="428"/>
      <c r="AG416" s="426"/>
      <c r="AH416" s="426"/>
      <c r="AI416" s="252"/>
      <c r="AJ416" s="252"/>
      <c r="AK416" s="428"/>
      <c r="AL416" s="146"/>
    </row>
    <row r="417" spans="2:38" x14ac:dyDescent="0.25">
      <c r="B417" s="9" t="s">
        <v>43</v>
      </c>
      <c r="C417" s="10" t="s">
        <v>44</v>
      </c>
      <c r="D417" s="11" t="s">
        <v>10</v>
      </c>
      <c r="E417" s="44">
        <f>'Kalkulace a Porovnání'!E417</f>
        <v>0</v>
      </c>
      <c r="F417" s="44">
        <f>'Kalkulace a Porovnání'!F417</f>
        <v>0</v>
      </c>
      <c r="G417" s="44">
        <f>'Kalkulace a Porovnání'!G417</f>
        <v>0</v>
      </c>
      <c r="H417" s="30">
        <f>'Kalkulace a Porovnání'!H417</f>
        <v>0</v>
      </c>
      <c r="K417" s="9" t="s">
        <v>43</v>
      </c>
      <c r="L417" s="10" t="s">
        <v>44</v>
      </c>
      <c r="M417" s="11" t="s">
        <v>10</v>
      </c>
      <c r="N417" s="44">
        <f>'Kalkulace a Porovnání'!N417</f>
        <v>0</v>
      </c>
      <c r="O417" s="44">
        <f>'Kalkulace a Porovnání'!O417</f>
        <v>0</v>
      </c>
      <c r="P417" s="44">
        <f>'Kalkulace a Porovnání'!P417</f>
        <v>0</v>
      </c>
      <c r="Q417" s="30">
        <f>'Kalkulace a Porovnání'!Q417</f>
        <v>0</v>
      </c>
      <c r="T417" s="9" t="s">
        <v>43</v>
      </c>
      <c r="U417" s="10" t="s">
        <v>44</v>
      </c>
      <c r="V417" s="11" t="s">
        <v>10</v>
      </c>
      <c r="W417" s="44">
        <f>'Kalkulace a Porovnání'!W417</f>
        <v>0</v>
      </c>
      <c r="X417" s="44">
        <f>'Kalkulace a Porovnání'!X417</f>
        <v>0</v>
      </c>
      <c r="Y417" s="44">
        <f>'Kalkulace a Porovnání'!Y417</f>
        <v>0</v>
      </c>
      <c r="Z417" s="44">
        <f>'Kalkulace a Porovnání'!Z417</f>
        <v>0</v>
      </c>
      <c r="AA417" s="44">
        <f>'Kalkulace a Porovnání'!AA417</f>
        <v>0</v>
      </c>
      <c r="AB417" s="30">
        <f>'Kalkulace a Porovnání'!AB417</f>
        <v>0</v>
      </c>
      <c r="AC417" s="146"/>
      <c r="AD417" s="428"/>
      <c r="AG417" s="147"/>
      <c r="AH417" s="147"/>
      <c r="AI417" s="252"/>
      <c r="AJ417" s="252"/>
      <c r="AK417" s="428"/>
      <c r="AL417" s="146"/>
    </row>
    <row r="418" spans="2:38" x14ac:dyDescent="0.25">
      <c r="B418" s="9" t="s">
        <v>45</v>
      </c>
      <c r="C418" s="10" t="s">
        <v>388</v>
      </c>
      <c r="D418" s="11" t="s">
        <v>10</v>
      </c>
      <c r="E418" s="44">
        <f>'Kalkulace a Porovnání'!E418</f>
        <v>0</v>
      </c>
      <c r="F418" s="44">
        <f>'Kalkulace a Porovnání'!F418</f>
        <v>0</v>
      </c>
      <c r="G418" s="44">
        <f>'Kalkulace a Porovnání'!G418</f>
        <v>0</v>
      </c>
      <c r="H418" s="30">
        <f>'Kalkulace a Porovnání'!H418</f>
        <v>0</v>
      </c>
      <c r="K418" s="9" t="s">
        <v>45</v>
      </c>
      <c r="L418" s="10" t="s">
        <v>388</v>
      </c>
      <c r="M418" s="11" t="s">
        <v>10</v>
      </c>
      <c r="N418" s="44">
        <f>'Kalkulace a Porovnání'!N418</f>
        <v>0</v>
      </c>
      <c r="O418" s="44">
        <f>'Kalkulace a Porovnání'!O418</f>
        <v>0</v>
      </c>
      <c r="P418" s="44">
        <f>'Kalkulace a Porovnání'!P418</f>
        <v>0</v>
      </c>
      <c r="Q418" s="30">
        <f>'Kalkulace a Porovnání'!Q418</f>
        <v>0</v>
      </c>
      <c r="T418" s="9" t="s">
        <v>45</v>
      </c>
      <c r="U418" s="10" t="s">
        <v>388</v>
      </c>
      <c r="V418" s="11" t="s">
        <v>10</v>
      </c>
      <c r="W418" s="44">
        <f>'Kalkulace a Porovnání'!W418</f>
        <v>0</v>
      </c>
      <c r="X418" s="44">
        <f>'Kalkulace a Porovnání'!X418</f>
        <v>0</v>
      </c>
      <c r="Y418" s="44">
        <f>'Kalkulace a Porovnání'!Y418</f>
        <v>0</v>
      </c>
      <c r="Z418" s="44">
        <f>'Kalkulace a Porovnání'!Z418</f>
        <v>0</v>
      </c>
      <c r="AA418" s="44">
        <f>'Kalkulace a Porovnání'!AA418</f>
        <v>0</v>
      </c>
      <c r="AB418" s="30">
        <f>'Kalkulace a Porovnání'!AB418</f>
        <v>0</v>
      </c>
      <c r="AC418" s="146"/>
      <c r="AD418" s="428"/>
      <c r="AG418" s="147"/>
      <c r="AH418" s="147"/>
      <c r="AI418" s="252"/>
      <c r="AJ418" s="252"/>
      <c r="AK418" s="428"/>
      <c r="AL418" s="146"/>
    </row>
    <row r="419" spans="2:38" x14ac:dyDescent="0.25">
      <c r="B419" s="9" t="s">
        <v>46</v>
      </c>
      <c r="C419" s="10" t="s">
        <v>47</v>
      </c>
      <c r="D419" s="11" t="s">
        <v>10</v>
      </c>
      <c r="E419" s="44">
        <f>'Kalkulace a Porovnání'!E419</f>
        <v>0</v>
      </c>
      <c r="F419" s="44">
        <f>'Kalkulace a Porovnání'!F419</f>
        <v>0</v>
      </c>
      <c r="G419" s="44">
        <f>'Kalkulace a Porovnání'!G419</f>
        <v>0</v>
      </c>
      <c r="H419" s="30">
        <f>'Kalkulace a Porovnání'!H419</f>
        <v>0</v>
      </c>
      <c r="K419" s="9" t="s">
        <v>46</v>
      </c>
      <c r="L419" s="10" t="s">
        <v>47</v>
      </c>
      <c r="M419" s="11" t="s">
        <v>10</v>
      </c>
      <c r="N419" s="44">
        <f>'Kalkulace a Porovnání'!N419</f>
        <v>0</v>
      </c>
      <c r="O419" s="44">
        <f>'Kalkulace a Porovnání'!O419</f>
        <v>0</v>
      </c>
      <c r="P419" s="44">
        <f>'Kalkulace a Porovnání'!P419</f>
        <v>0</v>
      </c>
      <c r="Q419" s="30">
        <f>'Kalkulace a Porovnání'!Q419</f>
        <v>0</v>
      </c>
      <c r="T419" s="9" t="s">
        <v>46</v>
      </c>
      <c r="U419" s="10" t="s">
        <v>47</v>
      </c>
      <c r="V419" s="11" t="s">
        <v>10</v>
      </c>
      <c r="W419" s="44">
        <f>'Kalkulace a Porovnání'!W419</f>
        <v>0</v>
      </c>
      <c r="X419" s="44">
        <f>'Kalkulace a Porovnání'!X419</f>
        <v>0</v>
      </c>
      <c r="Y419" s="44">
        <f>'Kalkulace a Porovnání'!Y419</f>
        <v>0</v>
      </c>
      <c r="Z419" s="44">
        <f>'Kalkulace a Porovnání'!Z419</f>
        <v>0</v>
      </c>
      <c r="AA419" s="44">
        <f>'Kalkulace a Porovnání'!AA419</f>
        <v>0</v>
      </c>
      <c r="AB419" s="30">
        <f>'Kalkulace a Porovnání'!AB419</f>
        <v>0</v>
      </c>
      <c r="AC419" s="146"/>
      <c r="AD419" s="428"/>
      <c r="AG419" s="147"/>
      <c r="AH419" s="147"/>
      <c r="AI419" s="252"/>
      <c r="AJ419" s="252"/>
      <c r="AK419" s="428"/>
      <c r="AL419" s="146"/>
    </row>
    <row r="420" spans="2:38" x14ac:dyDescent="0.25">
      <c r="B420" s="9" t="s">
        <v>48</v>
      </c>
      <c r="C420" s="10" t="s">
        <v>49</v>
      </c>
      <c r="D420" s="11" t="s">
        <v>10</v>
      </c>
      <c r="E420" s="44">
        <f>'Kalkulace a Porovnání'!E420</f>
        <v>0</v>
      </c>
      <c r="F420" s="44">
        <f>'Kalkulace a Porovnání'!F420</f>
        <v>0</v>
      </c>
      <c r="G420" s="44">
        <f>'Kalkulace a Porovnání'!G420</f>
        <v>0</v>
      </c>
      <c r="H420" s="30">
        <f>'Kalkulace a Porovnání'!H420</f>
        <v>0</v>
      </c>
      <c r="K420" s="9" t="s">
        <v>48</v>
      </c>
      <c r="L420" s="10" t="s">
        <v>49</v>
      </c>
      <c r="M420" s="11" t="s">
        <v>10</v>
      </c>
      <c r="N420" s="44">
        <f>'Kalkulace a Porovnání'!N420</f>
        <v>0</v>
      </c>
      <c r="O420" s="44">
        <f>'Kalkulace a Porovnání'!O420</f>
        <v>0</v>
      </c>
      <c r="P420" s="44">
        <f>'Kalkulace a Porovnání'!P420</f>
        <v>0</v>
      </c>
      <c r="Q420" s="30">
        <f>'Kalkulace a Porovnání'!Q420</f>
        <v>0</v>
      </c>
      <c r="T420" s="9" t="s">
        <v>48</v>
      </c>
      <c r="U420" s="10" t="s">
        <v>49</v>
      </c>
      <c r="V420" s="11" t="s">
        <v>10</v>
      </c>
      <c r="W420" s="44">
        <f>'Kalkulace a Porovnání'!W420</f>
        <v>0</v>
      </c>
      <c r="X420" s="44">
        <f>'Kalkulace a Porovnání'!X420</f>
        <v>0</v>
      </c>
      <c r="Y420" s="44">
        <f>'Kalkulace a Porovnání'!Y420</f>
        <v>0</v>
      </c>
      <c r="Z420" s="44">
        <f>'Kalkulace a Porovnání'!Z420</f>
        <v>0</v>
      </c>
      <c r="AA420" s="44">
        <f>'Kalkulace a Porovnání'!AA420</f>
        <v>0</v>
      </c>
      <c r="AB420" s="30">
        <f>'Kalkulace a Porovnání'!AB420</f>
        <v>0</v>
      </c>
      <c r="AC420" s="146"/>
      <c r="AD420" s="428"/>
      <c r="AG420" s="147"/>
      <c r="AH420" s="147"/>
      <c r="AI420" s="252"/>
      <c r="AJ420" s="252"/>
      <c r="AK420" s="428"/>
      <c r="AL420" s="146"/>
    </row>
    <row r="421" spans="2:38" x14ac:dyDescent="0.25">
      <c r="B421" s="12" t="s">
        <v>386</v>
      </c>
      <c r="C421" s="13" t="s">
        <v>385</v>
      </c>
      <c r="D421" s="3" t="s">
        <v>10</v>
      </c>
      <c r="E421" s="44">
        <f>'Kalkulace a Porovnání'!E421</f>
        <v>0</v>
      </c>
      <c r="F421" s="44">
        <f>'Kalkulace a Porovnání'!F421</f>
        <v>0.02</v>
      </c>
      <c r="G421" s="44">
        <f>'Kalkulace a Porovnání'!G421</f>
        <v>0</v>
      </c>
      <c r="H421" s="30">
        <f>'Kalkulace a Porovnání'!H421</f>
        <v>0.02</v>
      </c>
      <c r="K421" s="12" t="s">
        <v>386</v>
      </c>
      <c r="L421" s="13" t="s">
        <v>385</v>
      </c>
      <c r="M421" s="3" t="s">
        <v>10</v>
      </c>
      <c r="N421" s="44">
        <f>'Kalkulace a Porovnání'!N421</f>
        <v>0</v>
      </c>
      <c r="O421" s="44">
        <f>'Kalkulace a Porovnání'!O421</f>
        <v>0</v>
      </c>
      <c r="P421" s="44">
        <f>'Kalkulace a Porovnání'!P421</f>
        <v>0</v>
      </c>
      <c r="Q421" s="30">
        <f>'Kalkulace a Porovnání'!Q421</f>
        <v>0</v>
      </c>
      <c r="T421" s="12" t="s">
        <v>386</v>
      </c>
      <c r="U421" s="13" t="s">
        <v>385</v>
      </c>
      <c r="V421" s="3" t="s">
        <v>10</v>
      </c>
      <c r="W421" s="44">
        <f>'Kalkulace a Porovnání'!W421</f>
        <v>0</v>
      </c>
      <c r="X421" s="44">
        <f>'Kalkulace a Porovnání'!X421</f>
        <v>0</v>
      </c>
      <c r="Y421" s="44">
        <f>'Kalkulace a Porovnání'!Y421</f>
        <v>0</v>
      </c>
      <c r="Z421" s="44">
        <f>'Kalkulace a Porovnání'!Z421</f>
        <v>0</v>
      </c>
      <c r="AA421" s="44">
        <f>'Kalkulace a Porovnání'!AA421</f>
        <v>0</v>
      </c>
      <c r="AB421" s="30">
        <f>'Kalkulace a Porovnání'!AB421</f>
        <v>0</v>
      </c>
      <c r="AC421" s="146"/>
      <c r="AD421" s="428"/>
      <c r="AG421" s="147"/>
      <c r="AH421" s="147"/>
      <c r="AI421" s="252"/>
      <c r="AJ421" s="252"/>
      <c r="AK421" s="428"/>
      <c r="AL421" s="146"/>
    </row>
    <row r="422" spans="2:38" x14ac:dyDescent="0.25">
      <c r="B422" s="9" t="s">
        <v>50</v>
      </c>
      <c r="C422" s="10" t="s">
        <v>391</v>
      </c>
      <c r="D422" s="11" t="s">
        <v>10</v>
      </c>
      <c r="E422" s="41">
        <f>'Kalkulace a Porovnání'!E422</f>
        <v>0</v>
      </c>
      <c r="F422" s="41">
        <f>'Kalkulace a Porovnání'!F422</f>
        <v>0</v>
      </c>
      <c r="G422" s="41">
        <f>'Kalkulace a Porovnání'!G422</f>
        <v>0</v>
      </c>
      <c r="H422" s="86">
        <f>'Kalkulace a Porovnání'!H422</f>
        <v>0</v>
      </c>
      <c r="K422" s="9" t="s">
        <v>50</v>
      </c>
      <c r="L422" s="10" t="s">
        <v>391</v>
      </c>
      <c r="M422" s="11" t="s">
        <v>10</v>
      </c>
      <c r="N422" s="41">
        <f>'Kalkulace a Porovnání'!N422</f>
        <v>0</v>
      </c>
      <c r="O422" s="41">
        <f>'Kalkulace a Porovnání'!O422</f>
        <v>0</v>
      </c>
      <c r="P422" s="41">
        <f>'Kalkulace a Porovnání'!P422</f>
        <v>0</v>
      </c>
      <c r="Q422" s="86">
        <f>'Kalkulace a Porovnání'!Q422</f>
        <v>0</v>
      </c>
      <c r="T422" s="9" t="s">
        <v>50</v>
      </c>
      <c r="U422" s="10" t="s">
        <v>391</v>
      </c>
      <c r="V422" s="11" t="s">
        <v>10</v>
      </c>
      <c r="W422" s="41">
        <f>'Kalkulace a Porovnání'!W422</f>
        <v>0</v>
      </c>
      <c r="X422" s="41">
        <f>'Kalkulace a Porovnání'!X422</f>
        <v>0</v>
      </c>
      <c r="Y422" s="41">
        <f>'Kalkulace a Porovnání'!Y422</f>
        <v>0</v>
      </c>
      <c r="Z422" s="41">
        <f>'Kalkulace a Porovnání'!Z422</f>
        <v>0</v>
      </c>
      <c r="AA422" s="41">
        <f>'Kalkulace a Porovnání'!AA422</f>
        <v>0</v>
      </c>
      <c r="AB422" s="86">
        <f>'Kalkulace a Porovnání'!AB422</f>
        <v>0</v>
      </c>
      <c r="AC422" s="146"/>
      <c r="AD422" s="428"/>
      <c r="AG422" s="147"/>
      <c r="AH422" s="147"/>
      <c r="AI422" s="252"/>
      <c r="AJ422" s="252"/>
      <c r="AK422" s="428"/>
      <c r="AL422" s="146"/>
    </row>
    <row r="423" spans="2:38" x14ac:dyDescent="0.25">
      <c r="B423" s="12" t="s">
        <v>389</v>
      </c>
      <c r="C423" s="13" t="s">
        <v>96</v>
      </c>
      <c r="D423" s="3" t="s">
        <v>10</v>
      </c>
      <c r="E423" s="329">
        <f>'Kalkulace a Porovnání'!E423</f>
        <v>0</v>
      </c>
      <c r="F423" s="329">
        <f>'Kalkulace a Porovnání'!F423</f>
        <v>0</v>
      </c>
      <c r="G423" s="329">
        <f>'Kalkulace a Porovnání'!G423</f>
        <v>0</v>
      </c>
      <c r="H423" s="330">
        <f>'Kalkulace a Porovnání'!H423</f>
        <v>0</v>
      </c>
      <c r="K423" s="12" t="s">
        <v>389</v>
      </c>
      <c r="L423" s="13" t="s">
        <v>96</v>
      </c>
      <c r="M423" s="3" t="s">
        <v>10</v>
      </c>
      <c r="N423" s="329">
        <f>'Kalkulace a Porovnání'!N423</f>
        <v>0</v>
      </c>
      <c r="O423" s="329">
        <f>'Kalkulace a Porovnání'!O423</f>
        <v>0</v>
      </c>
      <c r="P423" s="329">
        <f>'Kalkulace a Porovnání'!P423</f>
        <v>0</v>
      </c>
      <c r="Q423" s="330">
        <f>'Kalkulace a Porovnání'!Q423</f>
        <v>0</v>
      </c>
      <c r="T423" s="12" t="s">
        <v>389</v>
      </c>
      <c r="U423" s="13" t="s">
        <v>96</v>
      </c>
      <c r="V423" s="3" t="s">
        <v>10</v>
      </c>
      <c r="W423" s="329">
        <f>'Kalkulace a Porovnání'!W423</f>
        <v>0</v>
      </c>
      <c r="X423" s="329">
        <f>'Kalkulace a Porovnání'!X423</f>
        <v>0</v>
      </c>
      <c r="Y423" s="329">
        <f>'Kalkulace a Porovnání'!Y423</f>
        <v>0</v>
      </c>
      <c r="Z423" s="329">
        <f>'Kalkulace a Porovnání'!Z423</f>
        <v>0</v>
      </c>
      <c r="AA423" s="329">
        <f>'Kalkulace a Porovnání'!AA423</f>
        <v>0</v>
      </c>
      <c r="AB423" s="330">
        <f>'Kalkulace a Porovnání'!AB423</f>
        <v>0</v>
      </c>
      <c r="AC423" s="146"/>
      <c r="AD423" s="428"/>
      <c r="AG423" s="1120"/>
      <c r="AH423" s="1120"/>
      <c r="AI423" s="252"/>
      <c r="AJ423" s="252"/>
      <c r="AK423" s="428"/>
      <c r="AL423" s="146"/>
    </row>
    <row r="424" spans="2:38" x14ac:dyDescent="0.25">
      <c r="B424" s="12" t="s">
        <v>389</v>
      </c>
      <c r="C424" s="13" t="s">
        <v>97</v>
      </c>
      <c r="D424" s="3" t="s">
        <v>10</v>
      </c>
      <c r="E424" s="329">
        <f>'Kalkulace a Porovnání'!E424</f>
        <v>0</v>
      </c>
      <c r="F424" s="329">
        <f>'Kalkulace a Porovnání'!F424</f>
        <v>0</v>
      </c>
      <c r="G424" s="329">
        <f>'Kalkulace a Porovnání'!G424</f>
        <v>0</v>
      </c>
      <c r="H424" s="330">
        <f>'Kalkulace a Porovnání'!H424</f>
        <v>0</v>
      </c>
      <c r="K424" s="12" t="s">
        <v>389</v>
      </c>
      <c r="L424" s="13" t="s">
        <v>97</v>
      </c>
      <c r="M424" s="3" t="s">
        <v>10</v>
      </c>
      <c r="N424" s="329">
        <f>'Kalkulace a Porovnání'!N424</f>
        <v>0</v>
      </c>
      <c r="O424" s="329">
        <f>'Kalkulace a Porovnání'!O424</f>
        <v>0</v>
      </c>
      <c r="P424" s="329">
        <f>'Kalkulace a Porovnání'!P424</f>
        <v>0</v>
      </c>
      <c r="Q424" s="330">
        <f>'Kalkulace a Porovnání'!Q424</f>
        <v>0</v>
      </c>
      <c r="T424" s="12" t="s">
        <v>389</v>
      </c>
      <c r="U424" s="13" t="s">
        <v>97</v>
      </c>
      <c r="V424" s="3" t="s">
        <v>10</v>
      </c>
      <c r="W424" s="329">
        <f>'Kalkulace a Porovnání'!W424</f>
        <v>0</v>
      </c>
      <c r="X424" s="329">
        <f>'Kalkulace a Porovnání'!X424</f>
        <v>0</v>
      </c>
      <c r="Y424" s="329">
        <f>'Kalkulace a Porovnání'!Y424</f>
        <v>0</v>
      </c>
      <c r="Z424" s="329">
        <f>'Kalkulace a Porovnání'!Z424</f>
        <v>0</v>
      </c>
      <c r="AA424" s="329">
        <f>'Kalkulace a Porovnání'!AA424</f>
        <v>0</v>
      </c>
      <c r="AB424" s="330">
        <f>'Kalkulace a Porovnání'!AB424</f>
        <v>0</v>
      </c>
      <c r="AC424" s="146"/>
      <c r="AD424" s="428"/>
      <c r="AG424" s="1120"/>
      <c r="AH424" s="1120"/>
      <c r="AI424" s="252"/>
      <c r="AJ424" s="252"/>
      <c r="AK424" s="428"/>
      <c r="AL424" s="146"/>
    </row>
    <row r="425" spans="2:38" x14ac:dyDescent="0.25">
      <c r="B425" s="12" t="s">
        <v>51</v>
      </c>
      <c r="C425" s="13" t="s">
        <v>54</v>
      </c>
      <c r="D425" s="3" t="s">
        <v>55</v>
      </c>
      <c r="E425" s="331">
        <f>'Kalkulace a Porovnání'!E425</f>
        <v>0</v>
      </c>
      <c r="F425" s="331">
        <f>'Kalkulace a Porovnání'!F425</f>
        <v>0</v>
      </c>
      <c r="G425" s="331">
        <f>'Kalkulace a Porovnání'!G425</f>
        <v>0</v>
      </c>
      <c r="H425" s="332">
        <f>'Kalkulace a Porovnání'!H425</f>
        <v>0</v>
      </c>
      <c r="K425" s="12" t="s">
        <v>51</v>
      </c>
      <c r="L425" s="13" t="s">
        <v>54</v>
      </c>
      <c r="M425" s="3" t="s">
        <v>55</v>
      </c>
      <c r="N425" s="331">
        <f>'Kalkulace a Porovnání'!N425</f>
        <v>0</v>
      </c>
      <c r="O425" s="331">
        <f>'Kalkulace a Porovnání'!O425</f>
        <v>0</v>
      </c>
      <c r="P425" s="331">
        <f>'Kalkulace a Porovnání'!P425</f>
        <v>0</v>
      </c>
      <c r="Q425" s="332">
        <f>'Kalkulace a Porovnání'!Q425</f>
        <v>0</v>
      </c>
      <c r="T425" s="12" t="s">
        <v>51</v>
      </c>
      <c r="U425" s="13" t="s">
        <v>54</v>
      </c>
      <c r="V425" s="3" t="s">
        <v>55</v>
      </c>
      <c r="W425" s="331">
        <f>'Kalkulace a Porovnání'!W425</f>
        <v>0</v>
      </c>
      <c r="X425" s="331">
        <f>'Kalkulace a Porovnání'!X425</f>
        <v>0</v>
      </c>
      <c r="Y425" s="331">
        <f>'Kalkulace a Porovnání'!Y425</f>
        <v>0</v>
      </c>
      <c r="Z425" s="331">
        <f>'Kalkulace a Porovnání'!Z425</f>
        <v>0</v>
      </c>
      <c r="AA425" s="331">
        <f>'Kalkulace a Porovnání'!AA425</f>
        <v>0</v>
      </c>
      <c r="AB425" s="332">
        <f>'Kalkulace a Porovnání'!AB425</f>
        <v>0</v>
      </c>
      <c r="AC425" s="146"/>
      <c r="AD425" s="428"/>
      <c r="AG425" s="1119"/>
      <c r="AH425" s="1119"/>
      <c r="AI425" s="252"/>
      <c r="AJ425" s="252"/>
      <c r="AK425" s="428"/>
      <c r="AL425" s="146"/>
    </row>
    <row r="426" spans="2:38" x14ac:dyDescent="0.25">
      <c r="B426" s="12" t="s">
        <v>52</v>
      </c>
      <c r="C426" s="13" t="s">
        <v>57</v>
      </c>
      <c r="D426" s="3" t="s">
        <v>58</v>
      </c>
      <c r="E426" s="44">
        <f>'Kalkulace a Porovnání'!E426</f>
        <v>0</v>
      </c>
      <c r="F426" s="44">
        <f>'Kalkulace a Porovnání'!F426</f>
        <v>0</v>
      </c>
      <c r="G426" s="44">
        <f>'Kalkulace a Porovnání'!G426</f>
        <v>0</v>
      </c>
      <c r="H426" s="30">
        <f>'Kalkulace a Porovnání'!H426</f>
        <v>0</v>
      </c>
      <c r="K426" s="12" t="s">
        <v>52</v>
      </c>
      <c r="L426" s="13" t="s">
        <v>57</v>
      </c>
      <c r="M426" s="3" t="s">
        <v>58</v>
      </c>
      <c r="N426" s="44">
        <f>'Kalkulace a Porovnání'!N426</f>
        <v>0</v>
      </c>
      <c r="O426" s="44">
        <f>'Kalkulace a Porovnání'!O426</f>
        <v>0</v>
      </c>
      <c r="P426" s="44">
        <f>'Kalkulace a Porovnání'!P426</f>
        <v>0</v>
      </c>
      <c r="Q426" s="30">
        <f>'Kalkulace a Porovnání'!Q426</f>
        <v>0</v>
      </c>
      <c r="T426" s="12" t="s">
        <v>52</v>
      </c>
      <c r="U426" s="13" t="s">
        <v>57</v>
      </c>
      <c r="V426" s="3" t="s">
        <v>58</v>
      </c>
      <c r="W426" s="44">
        <f>'Kalkulace a Porovnání'!W426</f>
        <v>0</v>
      </c>
      <c r="X426" s="44">
        <f>'Kalkulace a Porovnání'!X426</f>
        <v>0</v>
      </c>
      <c r="Y426" s="44">
        <f>'Kalkulace a Porovnání'!Y426</f>
        <v>0</v>
      </c>
      <c r="Z426" s="44">
        <f>'Kalkulace a Porovnání'!Z426</f>
        <v>0</v>
      </c>
      <c r="AA426" s="44">
        <f>'Kalkulace a Porovnání'!AA426</f>
        <v>0</v>
      </c>
      <c r="AB426" s="30">
        <f>'Kalkulace a Porovnání'!AB426</f>
        <v>0</v>
      </c>
      <c r="AC426" s="146"/>
      <c r="AD426" s="428"/>
      <c r="AG426" s="1119"/>
      <c r="AH426" s="1119"/>
      <c r="AI426" s="252"/>
      <c r="AJ426" s="252"/>
      <c r="AK426" s="428"/>
      <c r="AL426" s="146"/>
    </row>
    <row r="427" spans="2:38" x14ac:dyDescent="0.25">
      <c r="B427" s="12" t="s">
        <v>53</v>
      </c>
      <c r="C427" s="13" t="s">
        <v>60</v>
      </c>
      <c r="D427" s="3" t="s">
        <v>58</v>
      </c>
      <c r="E427" s="44">
        <f>'Kalkulace a Porovnání'!E427</f>
        <v>0</v>
      </c>
      <c r="F427" s="44">
        <f>'Kalkulace a Porovnání'!F427</f>
        <v>0</v>
      </c>
      <c r="G427" s="44">
        <f>'Kalkulace a Porovnání'!G427</f>
        <v>0</v>
      </c>
      <c r="H427" s="30">
        <f>'Kalkulace a Porovnání'!H427</f>
        <v>0</v>
      </c>
      <c r="K427" s="12" t="s">
        <v>53</v>
      </c>
      <c r="L427" s="13" t="s">
        <v>60</v>
      </c>
      <c r="M427" s="3" t="s">
        <v>58</v>
      </c>
      <c r="N427" s="44">
        <f>'Kalkulace a Porovnání'!N427</f>
        <v>0</v>
      </c>
      <c r="O427" s="44">
        <f>'Kalkulace a Porovnání'!O427</f>
        <v>0</v>
      </c>
      <c r="P427" s="44">
        <f>'Kalkulace a Porovnání'!P427</f>
        <v>0</v>
      </c>
      <c r="Q427" s="30">
        <f>'Kalkulace a Porovnání'!Q427</f>
        <v>0</v>
      </c>
      <c r="T427" s="12" t="s">
        <v>53</v>
      </c>
      <c r="U427" s="13" t="s">
        <v>60</v>
      </c>
      <c r="V427" s="3" t="s">
        <v>58</v>
      </c>
      <c r="W427" s="44">
        <f>'Kalkulace a Porovnání'!W427</f>
        <v>0</v>
      </c>
      <c r="X427" s="44">
        <f>'Kalkulace a Porovnání'!X427</f>
        <v>0</v>
      </c>
      <c r="Y427" s="44">
        <f>'Kalkulace a Porovnání'!Y427</f>
        <v>0</v>
      </c>
      <c r="Z427" s="44">
        <f>'Kalkulace a Porovnání'!Z427</f>
        <v>0</v>
      </c>
      <c r="AA427" s="44">
        <f>'Kalkulace a Porovnání'!AA427</f>
        <v>0</v>
      </c>
      <c r="AB427" s="30">
        <f>'Kalkulace a Porovnání'!AB427</f>
        <v>0</v>
      </c>
      <c r="AC427" s="146"/>
      <c r="AD427" s="428"/>
      <c r="AG427" s="147"/>
      <c r="AH427" s="147"/>
      <c r="AI427" s="252"/>
      <c r="AJ427" s="252"/>
      <c r="AK427" s="428"/>
      <c r="AL427" s="146"/>
    </row>
    <row r="428" spans="2:38" x14ac:dyDescent="0.25">
      <c r="B428" s="12" t="s">
        <v>56</v>
      </c>
      <c r="C428" s="13" t="s">
        <v>62</v>
      </c>
      <c r="D428" s="3" t="s">
        <v>58</v>
      </c>
      <c r="E428" s="44">
        <f>'Kalkulace a Porovnání'!E428</f>
        <v>0</v>
      </c>
      <c r="F428" s="44">
        <f>'Kalkulace a Porovnání'!F428</f>
        <v>0</v>
      </c>
      <c r="G428" s="44">
        <f>'Kalkulace a Porovnání'!G428</f>
        <v>0</v>
      </c>
      <c r="H428" s="30">
        <f>'Kalkulace a Porovnání'!H428</f>
        <v>0</v>
      </c>
      <c r="K428" s="12" t="s">
        <v>56</v>
      </c>
      <c r="L428" s="13" t="s">
        <v>62</v>
      </c>
      <c r="M428" s="3" t="s">
        <v>58</v>
      </c>
      <c r="N428" s="44">
        <f>'Kalkulace a Porovnání'!N428</f>
        <v>0</v>
      </c>
      <c r="O428" s="44">
        <f>'Kalkulace a Porovnání'!O428</f>
        <v>0</v>
      </c>
      <c r="P428" s="44">
        <f>'Kalkulace a Porovnání'!P428</f>
        <v>0</v>
      </c>
      <c r="Q428" s="30">
        <f>'Kalkulace a Porovnání'!Q428</f>
        <v>0</v>
      </c>
      <c r="T428" s="12" t="s">
        <v>56</v>
      </c>
      <c r="U428" s="13" t="s">
        <v>62</v>
      </c>
      <c r="V428" s="3" t="s">
        <v>58</v>
      </c>
      <c r="W428" s="44">
        <f>'Kalkulace a Porovnání'!W428</f>
        <v>0</v>
      </c>
      <c r="X428" s="44">
        <f>'Kalkulace a Porovnání'!X428</f>
        <v>0</v>
      </c>
      <c r="Y428" s="44">
        <f>'Kalkulace a Porovnání'!Y428</f>
        <v>0</v>
      </c>
      <c r="Z428" s="44">
        <f>'Kalkulace a Porovnání'!Z428</f>
        <v>0</v>
      </c>
      <c r="AA428" s="44">
        <f>'Kalkulace a Porovnání'!AA428</f>
        <v>0</v>
      </c>
      <c r="AB428" s="30">
        <f>'Kalkulace a Porovnání'!AB428</f>
        <v>0</v>
      </c>
      <c r="AC428" s="146"/>
      <c r="AD428" s="428"/>
      <c r="AG428" s="430"/>
      <c r="AH428" s="430"/>
      <c r="AI428" s="252"/>
      <c r="AJ428" s="252"/>
      <c r="AK428" s="428"/>
      <c r="AL428" s="146"/>
    </row>
    <row r="429" spans="2:38" x14ac:dyDescent="0.25">
      <c r="B429" s="12" t="s">
        <v>59</v>
      </c>
      <c r="C429" s="13" t="s">
        <v>60</v>
      </c>
      <c r="D429" s="3" t="s">
        <v>58</v>
      </c>
      <c r="E429" s="44">
        <f>'Kalkulace a Porovnání'!E429</f>
        <v>0</v>
      </c>
      <c r="F429" s="44">
        <f>'Kalkulace a Porovnání'!F429</f>
        <v>0</v>
      </c>
      <c r="G429" s="44">
        <f>'Kalkulace a Porovnání'!G429</f>
        <v>0</v>
      </c>
      <c r="H429" s="30">
        <f>'Kalkulace a Porovnání'!H429</f>
        <v>0</v>
      </c>
      <c r="K429" s="12" t="s">
        <v>59</v>
      </c>
      <c r="L429" s="13" t="s">
        <v>60</v>
      </c>
      <c r="M429" s="3" t="s">
        <v>58</v>
      </c>
      <c r="N429" s="44">
        <f>'Kalkulace a Porovnání'!N429</f>
        <v>0</v>
      </c>
      <c r="O429" s="44">
        <f>'Kalkulace a Porovnání'!O429</f>
        <v>0</v>
      </c>
      <c r="P429" s="44">
        <f>'Kalkulace a Porovnání'!P429</f>
        <v>0</v>
      </c>
      <c r="Q429" s="30">
        <f>'Kalkulace a Porovnání'!Q429</f>
        <v>0</v>
      </c>
      <c r="T429" s="12" t="s">
        <v>59</v>
      </c>
      <c r="U429" s="13" t="s">
        <v>60</v>
      </c>
      <c r="V429" s="3" t="s">
        <v>58</v>
      </c>
      <c r="W429" s="44">
        <f>'Kalkulace a Porovnání'!W429</f>
        <v>0</v>
      </c>
      <c r="X429" s="44">
        <f>'Kalkulace a Porovnání'!X429</f>
        <v>0</v>
      </c>
      <c r="Y429" s="44">
        <f>'Kalkulace a Porovnání'!Y429</f>
        <v>0</v>
      </c>
      <c r="Z429" s="44">
        <f>'Kalkulace a Porovnání'!Z429</f>
        <v>0</v>
      </c>
      <c r="AA429" s="44">
        <f>'Kalkulace a Porovnání'!AA429</f>
        <v>0</v>
      </c>
      <c r="AB429" s="30">
        <f>'Kalkulace a Porovnání'!AB429</f>
        <v>0</v>
      </c>
      <c r="AC429" s="146"/>
      <c r="AD429" s="428"/>
      <c r="AG429" s="427"/>
      <c r="AH429" s="427"/>
      <c r="AI429" s="252"/>
      <c r="AJ429" s="252"/>
      <c r="AK429" s="428"/>
      <c r="AL429" s="146"/>
    </row>
    <row r="430" spans="2:38" x14ac:dyDescent="0.25">
      <c r="B430" s="12" t="s">
        <v>61</v>
      </c>
      <c r="C430" s="13" t="s">
        <v>65</v>
      </c>
      <c r="D430" s="3" t="s">
        <v>58</v>
      </c>
      <c r="E430" s="44">
        <f>'Kalkulace a Porovnání'!E430</f>
        <v>0</v>
      </c>
      <c r="F430" s="44">
        <f>'Kalkulace a Porovnání'!F430</f>
        <v>0</v>
      </c>
      <c r="G430" s="44">
        <f>'Kalkulace a Porovnání'!G430</f>
        <v>0</v>
      </c>
      <c r="H430" s="30">
        <f>'Kalkulace a Porovnání'!H430</f>
        <v>0</v>
      </c>
      <c r="K430" s="12" t="s">
        <v>61</v>
      </c>
      <c r="L430" s="13" t="s">
        <v>65</v>
      </c>
      <c r="M430" s="3" t="s">
        <v>58</v>
      </c>
      <c r="N430" s="44">
        <f>'Kalkulace a Porovnání'!N430</f>
        <v>0</v>
      </c>
      <c r="O430" s="44">
        <f>'Kalkulace a Porovnání'!O430</f>
        <v>0</v>
      </c>
      <c r="P430" s="44">
        <f>'Kalkulace a Porovnání'!P430</f>
        <v>0</v>
      </c>
      <c r="Q430" s="30">
        <f>'Kalkulace a Porovnání'!Q430</f>
        <v>0</v>
      </c>
      <c r="T430" s="12" t="s">
        <v>61</v>
      </c>
      <c r="U430" s="13" t="s">
        <v>65</v>
      </c>
      <c r="V430" s="3" t="s">
        <v>58</v>
      </c>
      <c r="W430" s="44">
        <f>'Kalkulace a Porovnání'!W430</f>
        <v>0</v>
      </c>
      <c r="X430" s="44">
        <f>'Kalkulace a Porovnání'!X430</f>
        <v>0</v>
      </c>
      <c r="Y430" s="44">
        <f>'Kalkulace a Porovnání'!Y430</f>
        <v>0</v>
      </c>
      <c r="Z430" s="44">
        <f>'Kalkulace a Porovnání'!Z430</f>
        <v>0</v>
      </c>
      <c r="AA430" s="44">
        <f>'Kalkulace a Porovnání'!AA430</f>
        <v>0</v>
      </c>
      <c r="AB430" s="30">
        <f>'Kalkulace a Porovnání'!AB430</f>
        <v>0</v>
      </c>
      <c r="AC430" s="146"/>
      <c r="AD430" s="428"/>
      <c r="AG430" s="147"/>
      <c r="AH430" s="147"/>
      <c r="AI430" s="430"/>
      <c r="AJ430" s="430"/>
      <c r="AK430" s="428"/>
      <c r="AL430" s="146"/>
    </row>
    <row r="431" spans="2:38" x14ac:dyDescent="0.25">
      <c r="B431" s="12" t="s">
        <v>63</v>
      </c>
      <c r="C431" s="13" t="s">
        <v>67</v>
      </c>
      <c r="D431" s="3" t="s">
        <v>58</v>
      </c>
      <c r="E431" s="44">
        <f>'Kalkulace a Porovnání'!E431</f>
        <v>0</v>
      </c>
      <c r="F431" s="44">
        <f>'Kalkulace a Porovnání'!F431</f>
        <v>0</v>
      </c>
      <c r="G431" s="44">
        <f>'Kalkulace a Porovnání'!G431</f>
        <v>0</v>
      </c>
      <c r="H431" s="30">
        <f>'Kalkulace a Porovnání'!H431</f>
        <v>0</v>
      </c>
      <c r="K431" s="12" t="s">
        <v>63</v>
      </c>
      <c r="L431" s="13" t="s">
        <v>67</v>
      </c>
      <c r="M431" s="3" t="s">
        <v>58</v>
      </c>
      <c r="N431" s="44">
        <f>'Kalkulace a Porovnání'!N431</f>
        <v>0</v>
      </c>
      <c r="O431" s="44">
        <f>'Kalkulace a Porovnání'!O431</f>
        <v>0</v>
      </c>
      <c r="P431" s="44">
        <f>'Kalkulace a Porovnání'!P431</f>
        <v>0</v>
      </c>
      <c r="Q431" s="30">
        <f>'Kalkulace a Porovnání'!Q431</f>
        <v>0</v>
      </c>
      <c r="T431" s="12" t="s">
        <v>63</v>
      </c>
      <c r="U431" s="13" t="s">
        <v>67</v>
      </c>
      <c r="V431" s="3" t="s">
        <v>58</v>
      </c>
      <c r="W431" s="44">
        <f>'Kalkulace a Porovnání'!W431</f>
        <v>0</v>
      </c>
      <c r="X431" s="44">
        <f>'Kalkulace a Porovnání'!X431</f>
        <v>0</v>
      </c>
      <c r="Y431" s="44">
        <f>'Kalkulace a Porovnání'!Y431</f>
        <v>0</v>
      </c>
      <c r="Z431" s="44">
        <f>'Kalkulace a Porovnání'!Z431</f>
        <v>0</v>
      </c>
      <c r="AA431" s="44">
        <f>'Kalkulace a Porovnání'!AA431</f>
        <v>0</v>
      </c>
      <c r="AB431" s="30">
        <f>'Kalkulace a Porovnání'!AB431</f>
        <v>0</v>
      </c>
      <c r="AC431" s="146"/>
      <c r="AD431" s="428"/>
      <c r="AG431" s="147"/>
      <c r="AH431" s="147"/>
      <c r="AI431" s="430"/>
      <c r="AJ431" s="430"/>
      <c r="AK431" s="428"/>
      <c r="AL431" s="146"/>
    </row>
    <row r="432" spans="2:38" x14ac:dyDescent="0.25">
      <c r="B432" s="12" t="s">
        <v>64</v>
      </c>
      <c r="C432" s="13" t="s">
        <v>68</v>
      </c>
      <c r="D432" s="3" t="s">
        <v>58</v>
      </c>
      <c r="E432" s="44">
        <f>'Kalkulace a Porovnání'!E432</f>
        <v>0</v>
      </c>
      <c r="F432" s="44">
        <f>'Kalkulace a Porovnání'!F432</f>
        <v>0</v>
      </c>
      <c r="G432" s="44">
        <f>'Kalkulace a Porovnání'!G432</f>
        <v>0</v>
      </c>
      <c r="H432" s="30">
        <f>'Kalkulace a Porovnání'!H432</f>
        <v>0</v>
      </c>
      <c r="K432" s="12" t="s">
        <v>64</v>
      </c>
      <c r="L432" s="13" t="s">
        <v>68</v>
      </c>
      <c r="M432" s="3" t="s">
        <v>58</v>
      </c>
      <c r="N432" s="44">
        <f>'Kalkulace a Porovnání'!N432</f>
        <v>0</v>
      </c>
      <c r="O432" s="44">
        <f>'Kalkulace a Porovnání'!O432</f>
        <v>0</v>
      </c>
      <c r="P432" s="44">
        <f>'Kalkulace a Porovnání'!P432</f>
        <v>0</v>
      </c>
      <c r="Q432" s="30">
        <f>'Kalkulace a Porovnání'!Q432</f>
        <v>0</v>
      </c>
      <c r="T432" s="12" t="s">
        <v>64</v>
      </c>
      <c r="U432" s="13" t="s">
        <v>68</v>
      </c>
      <c r="V432" s="3" t="s">
        <v>58</v>
      </c>
      <c r="W432" s="44">
        <f>'Kalkulace a Porovnání'!W432</f>
        <v>0</v>
      </c>
      <c r="X432" s="44">
        <f>'Kalkulace a Porovnání'!X432</f>
        <v>0</v>
      </c>
      <c r="Y432" s="44">
        <f>'Kalkulace a Porovnání'!Y432</f>
        <v>0</v>
      </c>
      <c r="Z432" s="44">
        <f>'Kalkulace a Porovnání'!Z432</f>
        <v>0</v>
      </c>
      <c r="AA432" s="44">
        <f>'Kalkulace a Porovnání'!AA432</f>
        <v>0</v>
      </c>
      <c r="AB432" s="30">
        <f>'Kalkulace a Porovnání'!AB432</f>
        <v>0</v>
      </c>
      <c r="AC432" s="146"/>
      <c r="AD432" s="428"/>
      <c r="AG432" s="147"/>
      <c r="AH432" s="147"/>
      <c r="AI432" s="430"/>
      <c r="AJ432" s="430"/>
      <c r="AK432" s="428"/>
      <c r="AL432" s="146"/>
    </row>
    <row r="433" spans="2:38" x14ac:dyDescent="0.25">
      <c r="B433" s="12" t="s">
        <v>66</v>
      </c>
      <c r="C433" s="13" t="s">
        <v>69</v>
      </c>
      <c r="D433" s="3" t="s">
        <v>58</v>
      </c>
      <c r="E433" s="44">
        <f>'Kalkulace a Porovnání'!E433</f>
        <v>0</v>
      </c>
      <c r="F433" s="44">
        <f>'Kalkulace a Porovnání'!F433</f>
        <v>0</v>
      </c>
      <c r="G433" s="44">
        <f>'Kalkulace a Porovnání'!G433</f>
        <v>0</v>
      </c>
      <c r="H433" s="30">
        <f>'Kalkulace a Porovnání'!H433</f>
        <v>0</v>
      </c>
      <c r="K433" s="12" t="s">
        <v>66</v>
      </c>
      <c r="L433" s="13" t="s">
        <v>69</v>
      </c>
      <c r="M433" s="3" t="s">
        <v>58</v>
      </c>
      <c r="N433" s="44">
        <f>'Kalkulace a Porovnání'!N433</f>
        <v>0</v>
      </c>
      <c r="O433" s="44">
        <f>'Kalkulace a Porovnání'!O433</f>
        <v>0</v>
      </c>
      <c r="P433" s="44">
        <f>'Kalkulace a Porovnání'!P433</f>
        <v>0</v>
      </c>
      <c r="Q433" s="30">
        <f>'Kalkulace a Porovnání'!Q433</f>
        <v>0</v>
      </c>
      <c r="T433" s="12" t="s">
        <v>66</v>
      </c>
      <c r="U433" s="13" t="s">
        <v>69</v>
      </c>
      <c r="V433" s="3" t="s">
        <v>58</v>
      </c>
      <c r="W433" s="44">
        <f>'Kalkulace a Porovnání'!W433</f>
        <v>0</v>
      </c>
      <c r="X433" s="44">
        <f>'Kalkulace a Porovnání'!X433</f>
        <v>0</v>
      </c>
      <c r="Y433" s="44">
        <f>'Kalkulace a Porovnání'!Y433</f>
        <v>0</v>
      </c>
      <c r="Z433" s="44">
        <f>'Kalkulace a Porovnání'!Z433</f>
        <v>0</v>
      </c>
      <c r="AA433" s="44">
        <f>'Kalkulace a Porovnání'!AA433</f>
        <v>0</v>
      </c>
      <c r="AB433" s="30">
        <f>'Kalkulace a Porovnání'!AB433</f>
        <v>0</v>
      </c>
      <c r="AC433" s="146"/>
      <c r="AD433" s="428"/>
      <c r="AG433" s="314"/>
      <c r="AH433" s="314"/>
      <c r="AI433" s="252"/>
      <c r="AJ433" s="252"/>
      <c r="AK433" s="428"/>
      <c r="AL433" s="146"/>
    </row>
    <row r="434" spans="2:38" x14ac:dyDescent="0.25">
      <c r="B434" s="1"/>
      <c r="C434" s="1"/>
      <c r="D434" s="1"/>
      <c r="E434" s="1"/>
      <c r="F434" s="1"/>
      <c r="G434" s="1"/>
      <c r="H434" s="1"/>
      <c r="K434" s="1"/>
      <c r="L434" s="1"/>
      <c r="M434" s="1"/>
      <c r="N434" s="1"/>
      <c r="O434" s="1"/>
      <c r="P434" s="1"/>
      <c r="Q434" s="1"/>
      <c r="T434" s="1"/>
      <c r="U434" s="1"/>
      <c r="V434" s="1"/>
      <c r="W434" s="1"/>
      <c r="X434" s="1"/>
      <c r="Y434" s="1"/>
      <c r="Z434" s="1"/>
      <c r="AA434" s="1"/>
      <c r="AB434" s="1"/>
      <c r="AC434" s="146"/>
      <c r="AD434" s="428"/>
      <c r="AG434" s="428"/>
      <c r="AH434" s="428"/>
      <c r="AI434" s="428"/>
      <c r="AJ434" s="428"/>
      <c r="AK434" s="428"/>
      <c r="AL434" s="146"/>
    </row>
    <row r="435" spans="2:38" x14ac:dyDescent="0.25">
      <c r="B435" s="1052" t="s">
        <v>5</v>
      </c>
      <c r="C435" s="884" t="s">
        <v>70</v>
      </c>
      <c r="D435" s="868"/>
      <c r="E435" s="1082"/>
      <c r="F435" s="1083"/>
      <c r="G435" s="868"/>
      <c r="H435" s="869"/>
      <c r="K435" s="1052" t="s">
        <v>5</v>
      </c>
      <c r="L435" s="884" t="s">
        <v>70</v>
      </c>
      <c r="M435" s="868"/>
      <c r="N435" s="1082"/>
      <c r="O435" s="1083"/>
      <c r="P435" s="868"/>
      <c r="Q435" s="869"/>
      <c r="T435" s="1098" t="s">
        <v>5</v>
      </c>
      <c r="U435" s="884" t="s">
        <v>70</v>
      </c>
      <c r="V435" s="868"/>
      <c r="W435" s="1082"/>
      <c r="X435" s="1082"/>
      <c r="Y435" s="1083"/>
      <c r="Z435" s="868"/>
      <c r="AA435" s="868"/>
      <c r="AB435" s="869"/>
      <c r="AC435" s="146"/>
      <c r="AD435" s="428"/>
      <c r="AG435" s="428"/>
      <c r="AH435" s="428"/>
      <c r="AI435" s="428"/>
      <c r="AJ435" s="428"/>
      <c r="AK435" s="428"/>
      <c r="AL435" s="146"/>
    </row>
    <row r="436" spans="2:38" x14ac:dyDescent="0.25">
      <c r="B436" s="1053"/>
      <c r="C436" s="1052" t="s">
        <v>71</v>
      </c>
      <c r="D436" s="1065" t="s">
        <v>133</v>
      </c>
      <c r="E436" s="1085" t="s">
        <v>102</v>
      </c>
      <c r="F436" s="1086"/>
      <c r="G436" s="85" t="s">
        <v>3</v>
      </c>
      <c r="H436" s="23" t="s">
        <v>4</v>
      </c>
      <c r="K436" s="1053"/>
      <c r="L436" s="5" t="s">
        <v>71</v>
      </c>
      <c r="M436" s="1065" t="s">
        <v>133</v>
      </c>
      <c r="N436" s="1085" t="s">
        <v>102</v>
      </c>
      <c r="O436" s="1086"/>
      <c r="P436" s="85" t="s">
        <v>3</v>
      </c>
      <c r="Q436" s="23" t="s">
        <v>4</v>
      </c>
      <c r="T436" s="1099"/>
      <c r="U436" s="1052" t="s">
        <v>71</v>
      </c>
      <c r="V436" s="1065" t="s">
        <v>133</v>
      </c>
      <c r="W436" s="1085" t="s">
        <v>102</v>
      </c>
      <c r="X436" s="1086"/>
      <c r="Y436" s="1085" t="s">
        <v>3</v>
      </c>
      <c r="Z436" s="1101"/>
      <c r="AA436" s="1102" t="s">
        <v>4</v>
      </c>
      <c r="AB436" s="1102"/>
      <c r="AC436" s="146"/>
      <c r="AD436" s="428"/>
      <c r="AG436" s="428"/>
      <c r="AH436" s="428"/>
      <c r="AI436" s="428"/>
      <c r="AJ436" s="428"/>
      <c r="AK436" s="428"/>
      <c r="AL436" s="146"/>
    </row>
    <row r="437" spans="2:38" x14ac:dyDescent="0.25">
      <c r="B437" s="1054"/>
      <c r="C437" s="1054"/>
      <c r="D437" s="1084"/>
      <c r="E437" s="1087"/>
      <c r="F437" s="1088"/>
      <c r="G437" s="26" t="s">
        <v>7</v>
      </c>
      <c r="H437" s="24" t="s">
        <v>7</v>
      </c>
      <c r="K437" s="1054"/>
      <c r="L437" s="8"/>
      <c r="M437" s="1084"/>
      <c r="N437" s="1087"/>
      <c r="O437" s="1088"/>
      <c r="P437" s="26" t="s">
        <v>7</v>
      </c>
      <c r="Q437" s="24" t="s">
        <v>7</v>
      </c>
      <c r="T437" s="1100"/>
      <c r="U437" s="1054"/>
      <c r="V437" s="1084"/>
      <c r="W437" s="1087"/>
      <c r="X437" s="1088"/>
      <c r="Y437" s="37" t="s">
        <v>148</v>
      </c>
      <c r="Z437" s="37" t="s">
        <v>7</v>
      </c>
      <c r="AA437" s="37" t="s">
        <v>148</v>
      </c>
      <c r="AB437" s="37" t="s">
        <v>7</v>
      </c>
      <c r="AC437" s="146"/>
      <c r="AD437" s="428"/>
      <c r="AG437" s="428"/>
      <c r="AH437" s="428"/>
      <c r="AI437" s="428"/>
      <c r="AJ437" s="428"/>
      <c r="AK437" s="428"/>
      <c r="AL437" s="146"/>
    </row>
    <row r="438" spans="2:38" x14ac:dyDescent="0.25">
      <c r="B438" s="11">
        <v>1</v>
      </c>
      <c r="C438" s="11">
        <v>2</v>
      </c>
      <c r="D438" s="11" t="s">
        <v>95</v>
      </c>
      <c r="E438" s="873" t="s">
        <v>99</v>
      </c>
      <c r="F438" s="874"/>
      <c r="G438" s="11" t="s">
        <v>100</v>
      </c>
      <c r="H438" s="22" t="s">
        <v>101</v>
      </c>
      <c r="K438" s="11">
        <v>1</v>
      </c>
      <c r="L438" s="11">
        <v>2</v>
      </c>
      <c r="M438" s="11" t="s">
        <v>95</v>
      </c>
      <c r="N438" s="873" t="s">
        <v>99</v>
      </c>
      <c r="O438" s="874"/>
      <c r="P438" s="11" t="s">
        <v>100</v>
      </c>
      <c r="Q438" s="22" t="s">
        <v>101</v>
      </c>
      <c r="T438" s="11">
        <v>1</v>
      </c>
      <c r="U438" s="11">
        <v>2</v>
      </c>
      <c r="V438" s="11" t="s">
        <v>95</v>
      </c>
      <c r="W438" s="1096" t="s">
        <v>99</v>
      </c>
      <c r="X438" s="1097"/>
      <c r="Y438" s="11" t="s">
        <v>153</v>
      </c>
      <c r="Z438" s="11" t="s">
        <v>100</v>
      </c>
      <c r="AA438" s="11" t="s">
        <v>152</v>
      </c>
      <c r="AB438" s="22" t="s">
        <v>101</v>
      </c>
      <c r="AC438" s="146"/>
      <c r="AD438" s="428"/>
      <c r="AG438" s="428"/>
      <c r="AH438" s="428"/>
      <c r="AI438" s="428"/>
      <c r="AJ438" s="428"/>
      <c r="AK438" s="428"/>
      <c r="AL438" s="146"/>
    </row>
    <row r="439" spans="2:38" x14ac:dyDescent="0.25">
      <c r="B439" s="12" t="s">
        <v>72</v>
      </c>
      <c r="C439" s="13" t="s">
        <v>104</v>
      </c>
      <c r="D439" s="13" t="s">
        <v>73</v>
      </c>
      <c r="E439" s="875" t="s">
        <v>403</v>
      </c>
      <c r="F439" s="859"/>
      <c r="G439" s="138">
        <f>'Kalkulace a Porovnání'!G439</f>
        <v>0</v>
      </c>
      <c r="H439" s="138">
        <f>'Kalkulace a Porovnání'!H439</f>
        <v>0</v>
      </c>
      <c r="K439" s="12" t="s">
        <v>72</v>
      </c>
      <c r="L439" s="13" t="s">
        <v>104</v>
      </c>
      <c r="M439" s="13" t="s">
        <v>73</v>
      </c>
      <c r="N439" s="875" t="s">
        <v>403</v>
      </c>
      <c r="O439" s="859"/>
      <c r="P439" s="138">
        <f>'Kalkulace a Porovnání'!P439</f>
        <v>0</v>
      </c>
      <c r="Q439" s="138">
        <f>'Kalkulace a Porovnání'!Q439</f>
        <v>0</v>
      </c>
      <c r="T439" s="12" t="s">
        <v>72</v>
      </c>
      <c r="U439" s="13" t="s">
        <v>104</v>
      </c>
      <c r="V439" s="13" t="s">
        <v>73</v>
      </c>
      <c r="W439" s="875" t="s">
        <v>403</v>
      </c>
      <c r="X439" s="859"/>
      <c r="Y439" s="138">
        <f>'Kalkulace a Porovnání'!Y439</f>
        <v>0</v>
      </c>
      <c r="Z439" s="138">
        <f>'Kalkulace a Porovnání'!Z439</f>
        <v>0</v>
      </c>
      <c r="AA439" s="138">
        <f>'Kalkulace a Porovnání'!AA439</f>
        <v>0</v>
      </c>
      <c r="AB439" s="138">
        <f>'Kalkulace a Porovnání'!AB439</f>
        <v>0</v>
      </c>
      <c r="AC439" s="146"/>
      <c r="AD439" s="428"/>
      <c r="AG439" s="428"/>
      <c r="AH439" s="428"/>
      <c r="AI439" s="428"/>
      <c r="AJ439" s="428"/>
      <c r="AK439" s="428"/>
      <c r="AL439" s="146"/>
    </row>
    <row r="440" spans="2:38" x14ac:dyDescent="0.25">
      <c r="B440" s="12" t="s">
        <v>74</v>
      </c>
      <c r="C440" s="13" t="s">
        <v>358</v>
      </c>
      <c r="D440" s="13" t="s">
        <v>10</v>
      </c>
      <c r="E440" s="858" t="s">
        <v>404</v>
      </c>
      <c r="F440" s="870"/>
      <c r="G440" s="138">
        <f>G441+G442</f>
        <v>0</v>
      </c>
      <c r="H440" s="138">
        <f>H441+H442</f>
        <v>0</v>
      </c>
      <c r="K440" s="12" t="s">
        <v>74</v>
      </c>
      <c r="L440" s="13" t="s">
        <v>358</v>
      </c>
      <c r="M440" s="13" t="s">
        <v>10</v>
      </c>
      <c r="N440" s="858" t="s">
        <v>404</v>
      </c>
      <c r="O440" s="870"/>
      <c r="P440" s="138">
        <f>P441+P442</f>
        <v>0</v>
      </c>
      <c r="Q440" s="138">
        <f>Q441+Q442</f>
        <v>0</v>
      </c>
      <c r="T440" s="12" t="s">
        <v>74</v>
      </c>
      <c r="U440" s="13" t="s">
        <v>358</v>
      </c>
      <c r="V440" s="13" t="s">
        <v>10</v>
      </c>
      <c r="W440" s="858" t="s">
        <v>404</v>
      </c>
      <c r="X440" s="870"/>
      <c r="Y440" s="138">
        <f t="shared" ref="Y440:AB440" si="5">Y441+Y442</f>
        <v>0</v>
      </c>
      <c r="Z440" s="138">
        <f t="shared" si="5"/>
        <v>0</v>
      </c>
      <c r="AA440" s="138">
        <f t="shared" si="5"/>
        <v>0</v>
      </c>
      <c r="AB440" s="138">
        <f t="shared" si="5"/>
        <v>0</v>
      </c>
      <c r="AC440" s="146"/>
      <c r="AD440" s="428"/>
      <c r="AG440" s="428"/>
      <c r="AH440" s="428"/>
      <c r="AI440" s="428"/>
      <c r="AJ440" s="428"/>
      <c r="AK440" s="428"/>
      <c r="AL440" s="146"/>
    </row>
    <row r="441" spans="2:38" x14ac:dyDescent="0.25">
      <c r="B441" s="12" t="s">
        <v>352</v>
      </c>
      <c r="C441" s="13" t="s">
        <v>359</v>
      </c>
      <c r="D441" s="13" t="s">
        <v>10</v>
      </c>
      <c r="E441" s="871"/>
      <c r="F441" s="872"/>
      <c r="G441" s="138">
        <f>'Kalkulace a Porovnání'!G441</f>
        <v>0</v>
      </c>
      <c r="H441" s="138">
        <f>'Kalkulace a Porovnání'!H441</f>
        <v>0</v>
      </c>
      <c r="K441" s="12" t="s">
        <v>352</v>
      </c>
      <c r="L441" s="13" t="s">
        <v>359</v>
      </c>
      <c r="M441" s="13" t="s">
        <v>10</v>
      </c>
      <c r="N441" s="871"/>
      <c r="O441" s="872"/>
      <c r="P441" s="138">
        <f>'Kalkulace a Porovnání'!P441</f>
        <v>0</v>
      </c>
      <c r="Q441" s="138">
        <f>'Kalkulace a Porovnání'!Q441</f>
        <v>0</v>
      </c>
      <c r="T441" s="12" t="s">
        <v>352</v>
      </c>
      <c r="U441" s="13" t="s">
        <v>359</v>
      </c>
      <c r="V441" s="13" t="s">
        <v>10</v>
      </c>
      <c r="W441" s="871"/>
      <c r="X441" s="872"/>
      <c r="Y441" s="138">
        <f>'Kalkulace a Porovnání'!Y441</f>
        <v>0</v>
      </c>
      <c r="Z441" s="138">
        <f>'Kalkulace a Porovnání'!Z441</f>
        <v>0</v>
      </c>
      <c r="AA441" s="138">
        <f>'Kalkulace a Porovnání'!AA441</f>
        <v>0</v>
      </c>
      <c r="AB441" s="138">
        <f>'Kalkulace a Porovnání'!AB441</f>
        <v>0</v>
      </c>
      <c r="AC441" s="146"/>
      <c r="AD441" s="428"/>
      <c r="AG441" s="428"/>
      <c r="AH441" s="428"/>
      <c r="AI441" s="428"/>
      <c r="AJ441" s="428"/>
      <c r="AK441" s="428"/>
      <c r="AL441" s="146"/>
    </row>
    <row r="442" spans="2:38" x14ac:dyDescent="0.25">
      <c r="B442" s="12" t="s">
        <v>361</v>
      </c>
      <c r="C442" s="13" t="s">
        <v>360</v>
      </c>
      <c r="D442" s="13" t="s">
        <v>10</v>
      </c>
      <c r="E442" s="884"/>
      <c r="F442" s="869"/>
      <c r="G442" s="138">
        <f>'Kalkulace a Porovnání'!G442</f>
        <v>0</v>
      </c>
      <c r="H442" s="138">
        <f>'Kalkulace a Porovnání'!H442</f>
        <v>0</v>
      </c>
      <c r="K442" s="12" t="s">
        <v>361</v>
      </c>
      <c r="L442" s="13" t="s">
        <v>360</v>
      </c>
      <c r="M442" s="13" t="s">
        <v>10</v>
      </c>
      <c r="N442" s="884"/>
      <c r="O442" s="869"/>
      <c r="P442" s="138">
        <f>'Kalkulace a Porovnání'!P442</f>
        <v>0</v>
      </c>
      <c r="Q442" s="138">
        <f>'Kalkulace a Porovnání'!Q442</f>
        <v>0</v>
      </c>
      <c r="T442" s="12" t="s">
        <v>361</v>
      </c>
      <c r="U442" s="13" t="s">
        <v>360</v>
      </c>
      <c r="V442" s="13" t="s">
        <v>10</v>
      </c>
      <c r="W442" s="884"/>
      <c r="X442" s="869"/>
      <c r="Y442" s="138">
        <f>'Kalkulace a Porovnání'!Y442</f>
        <v>0</v>
      </c>
      <c r="Z442" s="138">
        <f>'Kalkulace a Porovnání'!Z442</f>
        <v>0</v>
      </c>
      <c r="AA442" s="138">
        <f>'Kalkulace a Porovnání'!AA442</f>
        <v>0</v>
      </c>
      <c r="AB442" s="138">
        <f>'Kalkulace a Porovnání'!AB442</f>
        <v>0</v>
      </c>
      <c r="AC442" s="146"/>
      <c r="AD442" s="428"/>
      <c r="AG442" s="428"/>
      <c r="AH442" s="428"/>
      <c r="AI442" s="428"/>
      <c r="AJ442" s="428"/>
      <c r="AK442" s="428"/>
      <c r="AL442" s="146"/>
    </row>
    <row r="443" spans="2:38" x14ac:dyDescent="0.25">
      <c r="B443" s="12" t="s">
        <v>75</v>
      </c>
      <c r="C443" s="13" t="s">
        <v>396</v>
      </c>
      <c r="D443" s="13" t="s">
        <v>10</v>
      </c>
      <c r="E443" s="858" t="s">
        <v>405</v>
      </c>
      <c r="F443" s="859"/>
      <c r="G443" s="341">
        <f>'Kalkulace a Porovnání'!G443</f>
        <v>0</v>
      </c>
      <c r="H443" s="341">
        <f>'Kalkulace a Porovnání'!H443</f>
        <v>0</v>
      </c>
      <c r="K443" s="12" t="s">
        <v>75</v>
      </c>
      <c r="L443" s="13" t="s">
        <v>396</v>
      </c>
      <c r="M443" s="13" t="s">
        <v>10</v>
      </c>
      <c r="N443" s="858" t="s">
        <v>405</v>
      </c>
      <c r="O443" s="859"/>
      <c r="P443" s="341">
        <f>'Kalkulace a Porovnání'!P443</f>
        <v>0</v>
      </c>
      <c r="Q443" s="341">
        <f>'Kalkulace a Porovnání'!Q443</f>
        <v>0</v>
      </c>
      <c r="T443" s="12" t="s">
        <v>75</v>
      </c>
      <c r="U443" s="13" t="s">
        <v>396</v>
      </c>
      <c r="V443" s="13" t="s">
        <v>10</v>
      </c>
      <c r="W443" s="858" t="s">
        <v>405</v>
      </c>
      <c r="X443" s="859"/>
      <c r="Y443" s="341">
        <f>'Kalkulace a Porovnání'!Y443</f>
        <v>0</v>
      </c>
      <c r="Z443" s="341">
        <f>'Kalkulace a Porovnání'!Z443</f>
        <v>0</v>
      </c>
      <c r="AA443" s="341">
        <f>'Kalkulace a Porovnání'!AA443</f>
        <v>0</v>
      </c>
      <c r="AB443" s="341">
        <f>'Kalkulace a Porovnání'!AB443</f>
        <v>0</v>
      </c>
      <c r="AC443" s="146"/>
      <c r="AD443" s="428"/>
      <c r="AG443" s="428"/>
      <c r="AH443" s="428"/>
      <c r="AI443" s="428"/>
      <c r="AJ443" s="428"/>
      <c r="AK443" s="428"/>
      <c r="AL443" s="146"/>
    </row>
    <row r="444" spans="2:38" x14ac:dyDescent="0.25">
      <c r="B444" s="12" t="s">
        <v>76</v>
      </c>
      <c r="C444" s="13" t="s">
        <v>373</v>
      </c>
      <c r="D444" s="13" t="s">
        <v>10</v>
      </c>
      <c r="E444" s="858"/>
      <c r="F444" s="859"/>
      <c r="G444" s="341">
        <f>'Kalkulace a Porovnání'!G444</f>
        <v>0</v>
      </c>
      <c r="H444" s="341">
        <f>'Kalkulace a Porovnání'!H444</f>
        <v>0</v>
      </c>
      <c r="K444" s="12" t="s">
        <v>76</v>
      </c>
      <c r="L444" s="13" t="s">
        <v>373</v>
      </c>
      <c r="M444" s="13" t="s">
        <v>10</v>
      </c>
      <c r="N444" s="858"/>
      <c r="O444" s="859"/>
      <c r="P444" s="341">
        <f>'Kalkulace a Porovnání'!P444</f>
        <v>0</v>
      </c>
      <c r="Q444" s="341">
        <f>'Kalkulace a Porovnání'!Q444</f>
        <v>0</v>
      </c>
      <c r="T444" s="12" t="s">
        <v>76</v>
      </c>
      <c r="U444" s="13" t="s">
        <v>373</v>
      </c>
      <c r="V444" s="13" t="s">
        <v>10</v>
      </c>
      <c r="W444" s="858"/>
      <c r="X444" s="859"/>
      <c r="Y444" s="341">
        <f>'Kalkulace a Porovnání'!Y444</f>
        <v>2.3999896640999999E-2</v>
      </c>
      <c r="Z444" s="341">
        <f>'Kalkulace a Porovnání'!Z444</f>
        <v>0</v>
      </c>
      <c r="AA444" s="341">
        <f>'Kalkulace a Porovnání'!AA444</f>
        <v>0.100000278</v>
      </c>
      <c r="AB444" s="341">
        <f>'Kalkulace a Porovnání'!AB444</f>
        <v>0</v>
      </c>
      <c r="AC444" s="146"/>
      <c r="AD444" s="428"/>
      <c r="AG444" s="428"/>
      <c r="AH444" s="428"/>
      <c r="AI444" s="428"/>
      <c r="AJ444" s="428"/>
      <c r="AK444" s="428"/>
      <c r="AL444" s="146"/>
    </row>
    <row r="445" spans="2:38" x14ac:dyDescent="0.25">
      <c r="B445" s="12" t="s">
        <v>78</v>
      </c>
      <c r="C445" s="21" t="s">
        <v>402</v>
      </c>
      <c r="D445" s="13" t="s">
        <v>77</v>
      </c>
      <c r="E445" s="875" t="s">
        <v>406</v>
      </c>
      <c r="F445" s="859"/>
      <c r="G445" s="138">
        <f>'Kalkulace a Porovnání'!G445</f>
        <v>0</v>
      </c>
      <c r="H445" s="138">
        <f>'Kalkulace a Porovnání'!H445</f>
        <v>0</v>
      </c>
      <c r="K445" s="12" t="s">
        <v>78</v>
      </c>
      <c r="L445" s="21" t="s">
        <v>402</v>
      </c>
      <c r="M445" s="13" t="s">
        <v>77</v>
      </c>
      <c r="N445" s="875" t="s">
        <v>406</v>
      </c>
      <c r="O445" s="859"/>
      <c r="P445" s="138">
        <f>'Kalkulace a Porovnání'!P445</f>
        <v>0</v>
      </c>
      <c r="Q445" s="138">
        <f>'Kalkulace a Porovnání'!Q445</f>
        <v>0</v>
      </c>
      <c r="T445" s="12" t="s">
        <v>78</v>
      </c>
      <c r="U445" s="21" t="s">
        <v>402</v>
      </c>
      <c r="V445" s="13" t="s">
        <v>77</v>
      </c>
      <c r="W445" s="875" t="s">
        <v>406</v>
      </c>
      <c r="X445" s="859"/>
      <c r="Y445" s="138">
        <f>'Kalkulace a Porovnání'!Y445</f>
        <v>0</v>
      </c>
      <c r="Z445" s="138">
        <f>'Kalkulace a Porovnání'!Z445</f>
        <v>0</v>
      </c>
      <c r="AA445" s="138">
        <f>'Kalkulace a Porovnání'!AA445</f>
        <v>0</v>
      </c>
      <c r="AB445" s="138">
        <f>'Kalkulace a Porovnání'!AB445</f>
        <v>0</v>
      </c>
      <c r="AC445" s="146"/>
      <c r="AD445" s="428"/>
      <c r="AG445" s="428"/>
      <c r="AH445" s="428"/>
      <c r="AI445" s="428"/>
      <c r="AJ445" s="428"/>
      <c r="AK445" s="428"/>
      <c r="AL445" s="146"/>
    </row>
    <row r="446" spans="2:38" x14ac:dyDescent="0.25">
      <c r="B446" s="12" t="s">
        <v>79</v>
      </c>
      <c r="C446" s="21" t="s">
        <v>408</v>
      </c>
      <c r="D446" s="13" t="s">
        <v>10</v>
      </c>
      <c r="E446" s="858" t="s">
        <v>407</v>
      </c>
      <c r="F446" s="859"/>
      <c r="G446" s="341">
        <f>'Kalkulace a Porovnání'!G446</f>
        <v>0</v>
      </c>
      <c r="H446" s="341">
        <f>'Kalkulace a Porovnání'!H446</f>
        <v>0</v>
      </c>
      <c r="K446" s="12" t="s">
        <v>79</v>
      </c>
      <c r="L446" s="21" t="s">
        <v>408</v>
      </c>
      <c r="M446" s="13" t="s">
        <v>10</v>
      </c>
      <c r="N446" s="858" t="s">
        <v>407</v>
      </c>
      <c r="O446" s="859"/>
      <c r="P446" s="341">
        <f>'Kalkulace a Porovnání'!P446</f>
        <v>0</v>
      </c>
      <c r="Q446" s="341">
        <f>'Kalkulace a Porovnání'!Q446</f>
        <v>0</v>
      </c>
      <c r="T446" s="12" t="s">
        <v>79</v>
      </c>
      <c r="U446" s="21" t="s">
        <v>408</v>
      </c>
      <c r="V446" s="13" t="s">
        <v>10</v>
      </c>
      <c r="W446" s="858" t="s">
        <v>407</v>
      </c>
      <c r="X446" s="859"/>
      <c r="Y446" s="341">
        <f>'Kalkulace a Porovnání'!Y446</f>
        <v>0</v>
      </c>
      <c r="Z446" s="341">
        <f>'Kalkulace a Porovnání'!Z446</f>
        <v>0</v>
      </c>
      <c r="AA446" s="341">
        <f>'Kalkulace a Porovnání'!AA446</f>
        <v>0</v>
      </c>
      <c r="AB446" s="341">
        <f>'Kalkulace a Porovnání'!AB446</f>
        <v>0</v>
      </c>
      <c r="AC446" s="146"/>
      <c r="AD446" s="428"/>
      <c r="AG446" s="428"/>
      <c r="AH446" s="428"/>
      <c r="AI446" s="428"/>
      <c r="AJ446" s="428"/>
      <c r="AK446" s="428"/>
      <c r="AL446" s="146"/>
    </row>
    <row r="447" spans="2:38" x14ac:dyDescent="0.25">
      <c r="B447" s="12" t="s">
        <v>80</v>
      </c>
      <c r="C447" s="21" t="s">
        <v>354</v>
      </c>
      <c r="D447" s="13" t="s">
        <v>10</v>
      </c>
      <c r="E447" s="858" t="s">
        <v>409</v>
      </c>
      <c r="F447" s="870"/>
      <c r="G447" s="341">
        <f>'Kalkulace a Porovnání'!G447</f>
        <v>0</v>
      </c>
      <c r="H447" s="341">
        <f>'Kalkulace a Porovnání'!H447</f>
        <v>0</v>
      </c>
      <c r="K447" s="12" t="s">
        <v>80</v>
      </c>
      <c r="L447" s="21" t="s">
        <v>354</v>
      </c>
      <c r="M447" s="13" t="s">
        <v>10</v>
      </c>
      <c r="N447" s="858" t="s">
        <v>409</v>
      </c>
      <c r="O447" s="870"/>
      <c r="P447" s="341">
        <f>'Kalkulace a Porovnání'!P447</f>
        <v>0</v>
      </c>
      <c r="Q447" s="341">
        <f>'Kalkulace a Porovnání'!Q447</f>
        <v>0</v>
      </c>
      <c r="T447" s="12" t="s">
        <v>80</v>
      </c>
      <c r="U447" s="21" t="s">
        <v>354</v>
      </c>
      <c r="V447" s="13" t="s">
        <v>10</v>
      </c>
      <c r="W447" s="858" t="s">
        <v>409</v>
      </c>
      <c r="X447" s="870"/>
      <c r="Y447" s="341">
        <f>'Kalkulace a Porovnání'!Y447</f>
        <v>2.3999896640999999E-2</v>
      </c>
      <c r="Z447" s="341">
        <f>'Kalkulace a Porovnání'!Z447</f>
        <v>0</v>
      </c>
      <c r="AA447" s="341">
        <f>'Kalkulace a Porovnání'!AA447</f>
        <v>0.100000278</v>
      </c>
      <c r="AB447" s="341">
        <f>'Kalkulace a Porovnání'!AB447</f>
        <v>0</v>
      </c>
      <c r="AC447" s="146"/>
      <c r="AD447" s="428"/>
      <c r="AG447" s="428"/>
      <c r="AH447" s="428"/>
      <c r="AI447" s="428"/>
      <c r="AJ447" s="428"/>
      <c r="AK447" s="428"/>
      <c r="AL447" s="146"/>
    </row>
    <row r="448" spans="2:38" x14ac:dyDescent="0.25">
      <c r="B448" s="12" t="s">
        <v>82</v>
      </c>
      <c r="C448" s="13" t="s">
        <v>395</v>
      </c>
      <c r="D448" s="13" t="s">
        <v>10</v>
      </c>
      <c r="E448" s="858" t="s">
        <v>410</v>
      </c>
      <c r="F448" s="859"/>
      <c r="G448" s="341">
        <f>'Kalkulace a Porovnání'!G448</f>
        <v>0</v>
      </c>
      <c r="H448" s="341">
        <f>'Kalkulace a Porovnání'!H448</f>
        <v>0</v>
      </c>
      <c r="K448" s="12" t="s">
        <v>82</v>
      </c>
      <c r="L448" s="13" t="s">
        <v>395</v>
      </c>
      <c r="M448" s="13" t="s">
        <v>10</v>
      </c>
      <c r="N448" s="858" t="s">
        <v>410</v>
      </c>
      <c r="O448" s="859"/>
      <c r="P448" s="341">
        <f>'Kalkulace a Porovnání'!P448</f>
        <v>0</v>
      </c>
      <c r="Q448" s="341">
        <f>'Kalkulace a Porovnání'!Q448</f>
        <v>0</v>
      </c>
      <c r="T448" s="12" t="s">
        <v>82</v>
      </c>
      <c r="U448" s="13" t="s">
        <v>395</v>
      </c>
      <c r="V448" s="13" t="s">
        <v>10</v>
      </c>
      <c r="W448" s="858" t="s">
        <v>410</v>
      </c>
      <c r="X448" s="859"/>
      <c r="Y448" s="341">
        <f>'Kalkulace a Porovnání'!Y448</f>
        <v>2.3999896640999999E-2</v>
      </c>
      <c r="Z448" s="341">
        <f>'Kalkulace a Porovnání'!Z448</f>
        <v>0</v>
      </c>
      <c r="AA448" s="341">
        <f>'Kalkulace a Porovnání'!AA448</f>
        <v>0.100000278</v>
      </c>
      <c r="AB448" s="341">
        <f>'Kalkulace a Porovnání'!AB448</f>
        <v>0</v>
      </c>
      <c r="AC448" s="146"/>
      <c r="AD448" s="428"/>
      <c r="AG448" s="428"/>
      <c r="AH448" s="428"/>
      <c r="AI448" s="428"/>
      <c r="AJ448" s="428"/>
      <c r="AK448" s="428"/>
      <c r="AL448" s="146"/>
    </row>
    <row r="449" spans="2:38" x14ac:dyDescent="0.25">
      <c r="B449" s="12" t="s">
        <v>83</v>
      </c>
      <c r="C449" s="13" t="s">
        <v>81</v>
      </c>
      <c r="D449" s="13" t="s">
        <v>58</v>
      </c>
      <c r="E449" s="858" t="s">
        <v>411</v>
      </c>
      <c r="F449" s="859"/>
      <c r="G449" s="341">
        <f>'Kalkulace a Porovnání'!G449</f>
        <v>0</v>
      </c>
      <c r="H449" s="341">
        <f>'Kalkulace a Porovnání'!H449</f>
        <v>0</v>
      </c>
      <c r="K449" s="12" t="s">
        <v>83</v>
      </c>
      <c r="L449" s="13" t="s">
        <v>81</v>
      </c>
      <c r="M449" s="13" t="s">
        <v>58</v>
      </c>
      <c r="N449" s="858" t="s">
        <v>411</v>
      </c>
      <c r="O449" s="859"/>
      <c r="P449" s="341">
        <f>'Kalkulace a Porovnání'!P449</f>
        <v>0</v>
      </c>
      <c r="Q449" s="341">
        <f>'Kalkulace a Porovnání'!Q449</f>
        <v>0</v>
      </c>
      <c r="T449" s="12" t="s">
        <v>83</v>
      </c>
      <c r="U449" s="13" t="s">
        <v>81</v>
      </c>
      <c r="V449" s="13" t="s">
        <v>58</v>
      </c>
      <c r="W449" s="858" t="s">
        <v>411</v>
      </c>
      <c r="X449" s="859"/>
      <c r="Y449" s="341">
        <f>'Kalkulace a Porovnání'!Y449</f>
        <v>0</v>
      </c>
      <c r="Z449" s="341">
        <f>'Kalkulace a Porovnání'!Z449</f>
        <v>0</v>
      </c>
      <c r="AA449" s="341">
        <f>'Kalkulace a Porovnání'!AA449</f>
        <v>0</v>
      </c>
      <c r="AB449" s="341">
        <f>'Kalkulace a Porovnání'!AB449</f>
        <v>0</v>
      </c>
      <c r="AC449" s="146"/>
      <c r="AD449" s="428"/>
      <c r="AG449" s="428"/>
      <c r="AH449" s="428"/>
      <c r="AI449" s="428"/>
      <c r="AJ449" s="428"/>
      <c r="AK449" s="428"/>
      <c r="AL449" s="146"/>
    </row>
    <row r="450" spans="2:38" x14ac:dyDescent="0.25">
      <c r="B450" s="12" t="s">
        <v>155</v>
      </c>
      <c r="C450" s="13" t="s">
        <v>393</v>
      </c>
      <c r="D450" s="13" t="s">
        <v>73</v>
      </c>
      <c r="E450" s="854" t="s">
        <v>412</v>
      </c>
      <c r="F450" s="855"/>
      <c r="G450" s="138">
        <f>'Kalkulace a Porovnání'!G450</f>
        <v>0</v>
      </c>
      <c r="H450" s="138">
        <f>'Kalkulace a Porovnání'!H450</f>
        <v>0</v>
      </c>
      <c r="K450" s="12" t="s">
        <v>155</v>
      </c>
      <c r="L450" s="13" t="s">
        <v>393</v>
      </c>
      <c r="M450" s="13" t="s">
        <v>73</v>
      </c>
      <c r="N450" s="854" t="s">
        <v>412</v>
      </c>
      <c r="O450" s="855"/>
      <c r="P450" s="138">
        <f>'Kalkulace a Porovnání'!P450</f>
        <v>0</v>
      </c>
      <c r="Q450" s="138">
        <f>'Kalkulace a Porovnání'!Q450</f>
        <v>0</v>
      </c>
      <c r="T450" s="12" t="s">
        <v>155</v>
      </c>
      <c r="U450" s="13" t="s">
        <v>393</v>
      </c>
      <c r="V450" s="13" t="s">
        <v>73</v>
      </c>
      <c r="W450" s="854" t="s">
        <v>412</v>
      </c>
      <c r="X450" s="855"/>
      <c r="Y450" s="138">
        <f>'Kalkulace a Porovnání'!Y450</f>
        <v>0</v>
      </c>
      <c r="Z450" s="138">
        <f>'Kalkulace a Porovnání'!Z450</f>
        <v>0</v>
      </c>
      <c r="AA450" s="138">
        <f>'Kalkulace a Porovnání'!AA450</f>
        <v>0</v>
      </c>
      <c r="AB450" s="138">
        <f>'Kalkulace a Porovnání'!AB450</f>
        <v>0</v>
      </c>
      <c r="AC450" s="146"/>
      <c r="AD450" s="428"/>
      <c r="AG450" s="428"/>
      <c r="AH450" s="428"/>
      <c r="AI450" s="428"/>
      <c r="AJ450" s="428"/>
      <c r="AK450" s="428"/>
      <c r="AL450" s="146"/>
    </row>
    <row r="451" spans="2:38" x14ac:dyDescent="0.25">
      <c r="B451" s="12" t="s">
        <v>355</v>
      </c>
      <c r="C451" s="13" t="str">
        <f>CONCATENATE("UPLATŇOVANÁ CENA pro vodné, stočné + ",Provozování!E449*100,"% DPH")</f>
        <v>UPLATŇOVANÁ CENA pro vodné, stočné + 0% DPH</v>
      </c>
      <c r="D451" s="13" t="s">
        <v>73</v>
      </c>
      <c r="E451" s="854" t="s">
        <v>413</v>
      </c>
      <c r="F451" s="855"/>
      <c r="G451" s="138">
        <f>'Kalkulace a Porovnání'!G451</f>
        <v>0</v>
      </c>
      <c r="H451" s="138">
        <f>'Kalkulace a Porovnání'!H451</f>
        <v>0</v>
      </c>
      <c r="K451" s="12" t="s">
        <v>355</v>
      </c>
      <c r="L451" s="13" t="str">
        <f>C451</f>
        <v>UPLATŇOVANÁ CENA pro vodné, stočné + 0% DPH</v>
      </c>
      <c r="M451" s="13" t="s">
        <v>73</v>
      </c>
      <c r="N451" s="854" t="s">
        <v>413</v>
      </c>
      <c r="O451" s="855"/>
      <c r="P451" s="138">
        <f>'Kalkulace a Porovnání'!P451</f>
        <v>0</v>
      </c>
      <c r="Q451" s="138">
        <f>'Kalkulace a Porovnání'!Q451</f>
        <v>0</v>
      </c>
      <c r="T451" s="12" t="s">
        <v>355</v>
      </c>
      <c r="U451" s="13" t="str">
        <f>C451</f>
        <v>UPLATŇOVANÁ CENA pro vodné, stočné + 0% DPH</v>
      </c>
      <c r="V451" s="13" t="s">
        <v>73</v>
      </c>
      <c r="W451" s="854" t="s">
        <v>413</v>
      </c>
      <c r="X451" s="855"/>
      <c r="Y451" s="138">
        <f>'Kalkulace a Porovnání'!Y451</f>
        <v>0</v>
      </c>
      <c r="Z451" s="138">
        <f>'Kalkulace a Porovnání'!Z451</f>
        <v>0</v>
      </c>
      <c r="AA451" s="138">
        <f>'Kalkulace a Porovnání'!AA451</f>
        <v>0</v>
      </c>
      <c r="AB451" s="138">
        <f>'Kalkulace a Porovnání'!AB451</f>
        <v>0</v>
      </c>
      <c r="AC451" s="146"/>
      <c r="AD451" s="428"/>
      <c r="AG451" s="428"/>
      <c r="AH451" s="428"/>
      <c r="AI451" s="428"/>
      <c r="AJ451" s="428"/>
      <c r="AK451" s="428"/>
      <c r="AL451" s="146"/>
    </row>
    <row r="452" spans="2:38" x14ac:dyDescent="0.25">
      <c r="B452" s="210" t="s">
        <v>356</v>
      </c>
      <c r="C452" s="244" t="s">
        <v>357</v>
      </c>
      <c r="D452" s="244"/>
      <c r="E452" s="884" t="s">
        <v>414</v>
      </c>
      <c r="F452" s="869"/>
      <c r="G452" s="138">
        <f>'Kalkulace a Porovnání'!G452</f>
        <v>0</v>
      </c>
      <c r="H452" s="138">
        <f>'Kalkulace a Porovnání'!H452</f>
        <v>0</v>
      </c>
      <c r="K452" s="210" t="s">
        <v>356</v>
      </c>
      <c r="L452" s="244" t="s">
        <v>357</v>
      </c>
      <c r="M452" s="244"/>
      <c r="N452" s="884" t="s">
        <v>414</v>
      </c>
      <c r="O452" s="869"/>
      <c r="P452" s="138">
        <f>'Kalkulace a Porovnání'!P452</f>
        <v>0</v>
      </c>
      <c r="Q452" s="138">
        <f>'Kalkulace a Porovnání'!Q452</f>
        <v>0</v>
      </c>
      <c r="T452" s="12" t="s">
        <v>356</v>
      </c>
      <c r="U452" s="13" t="s">
        <v>357</v>
      </c>
      <c r="V452" s="13"/>
      <c r="W452" s="884" t="s">
        <v>414</v>
      </c>
      <c r="X452" s="869"/>
      <c r="Y452" s="530">
        <f>'Kalkulace a Porovnání'!Y452</f>
        <v>0</v>
      </c>
      <c r="Z452" s="530">
        <f>'Kalkulace a Porovnání'!Z452</f>
        <v>0</v>
      </c>
      <c r="AA452" s="530">
        <f>'Kalkulace a Porovnání'!AA452</f>
        <v>0</v>
      </c>
      <c r="AB452" s="530">
        <f>'Kalkulace a Porovnání'!AB452</f>
        <v>0</v>
      </c>
      <c r="AC452" s="146"/>
      <c r="AD452" s="428"/>
      <c r="AG452" s="428"/>
      <c r="AH452" s="428"/>
      <c r="AI452" s="428"/>
      <c r="AJ452" s="428"/>
      <c r="AK452" s="428"/>
      <c r="AL452" s="146"/>
    </row>
    <row r="453" spans="2:38" x14ac:dyDescent="0.25">
      <c r="B453" s="29"/>
      <c r="C453" s="29"/>
      <c r="D453" s="29"/>
      <c r="E453" s="29"/>
      <c r="F453" s="29"/>
      <c r="G453" s="29"/>
      <c r="H453" s="29"/>
      <c r="I453" s="29"/>
      <c r="J453" s="29"/>
      <c r="K453" s="29"/>
      <c r="L453" s="29"/>
      <c r="M453" s="29"/>
      <c r="N453" s="29"/>
      <c r="O453" s="29"/>
      <c r="P453" s="29"/>
      <c r="Q453" s="29"/>
      <c r="R453" s="29"/>
      <c r="T453" s="1121" t="s">
        <v>364</v>
      </c>
      <c r="U453" s="1121" t="s">
        <v>154</v>
      </c>
      <c r="V453" s="1122" t="s">
        <v>10</v>
      </c>
      <c r="W453" s="854" t="s">
        <v>156</v>
      </c>
      <c r="X453" s="858"/>
      <c r="Y453" s="89" t="s">
        <v>158</v>
      </c>
      <c r="Z453" s="92" t="s">
        <v>159</v>
      </c>
      <c r="AA453" s="89" t="s">
        <v>158</v>
      </c>
      <c r="AB453" s="92" t="s">
        <v>159</v>
      </c>
      <c r="AC453" s="146"/>
      <c r="AD453" s="428"/>
      <c r="AG453" s="428"/>
      <c r="AH453" s="428"/>
      <c r="AI453" s="428"/>
      <c r="AJ453" s="428"/>
      <c r="AK453" s="428"/>
      <c r="AL453" s="146"/>
    </row>
    <row r="454" spans="2:38" x14ac:dyDescent="0.25">
      <c r="B454" s="383"/>
      <c r="C454" s="382"/>
      <c r="D454" s="382"/>
      <c r="E454" s="382"/>
      <c r="F454" s="382"/>
      <c r="G454" s="29"/>
      <c r="H454" s="29"/>
      <c r="I454" s="29"/>
      <c r="J454" s="29"/>
      <c r="K454" s="29"/>
      <c r="L454" s="29"/>
      <c r="M454" s="29"/>
      <c r="N454" s="29"/>
      <c r="O454" s="29"/>
      <c r="P454" s="29"/>
      <c r="Q454" s="29"/>
      <c r="R454" s="29"/>
      <c r="T454" s="1121"/>
      <c r="U454" s="1121"/>
      <c r="V454" s="1122"/>
      <c r="W454" s="1123">
        <f>'Kalkulace a Porovnání'!W454</f>
        <v>0</v>
      </c>
      <c r="X454" s="1124"/>
      <c r="Y454" s="90">
        <f>'Kalkulace a Porovnání'!Y454</f>
        <v>2029</v>
      </c>
      <c r="Z454" s="90">
        <f>'Kalkulace a Porovnání'!Z454</f>
        <v>2029</v>
      </c>
      <c r="AA454" s="90">
        <f>'Kalkulace a Porovnání'!AA454</f>
        <v>2029</v>
      </c>
      <c r="AB454" s="90">
        <f>'Kalkulace a Porovnání'!AB454</f>
        <v>2029</v>
      </c>
      <c r="AC454" s="146"/>
      <c r="AD454" s="428"/>
      <c r="AG454" s="428"/>
      <c r="AH454" s="428"/>
      <c r="AI454" s="428"/>
      <c r="AJ454" s="428"/>
      <c r="AK454" s="428"/>
      <c r="AL454" s="146"/>
    </row>
    <row r="455" spans="2:38" x14ac:dyDescent="0.25">
      <c r="B455" s="383"/>
      <c r="C455" s="382"/>
      <c r="D455" s="382"/>
      <c r="E455" s="382"/>
      <c r="F455" s="382"/>
      <c r="G455" s="29"/>
      <c r="H455" s="29"/>
      <c r="I455" s="29"/>
      <c r="J455" s="29"/>
      <c r="K455" s="29"/>
      <c r="L455" s="29"/>
      <c r="M455" s="29"/>
      <c r="N455" s="29"/>
      <c r="O455" s="29"/>
      <c r="P455" s="29"/>
      <c r="Q455" s="29"/>
      <c r="R455" s="29"/>
      <c r="T455" s="1121"/>
      <c r="U455" s="1121"/>
      <c r="V455" s="1122"/>
      <c r="W455" s="854" t="s">
        <v>157</v>
      </c>
      <c r="X455" s="858"/>
      <c r="Y455" s="91" t="s">
        <v>160</v>
      </c>
      <c r="Z455" s="91" t="s">
        <v>160</v>
      </c>
      <c r="AA455" s="91" t="s">
        <v>161</v>
      </c>
      <c r="AB455" s="91" t="s">
        <v>161</v>
      </c>
      <c r="AC455" s="146"/>
      <c r="AD455" s="428"/>
      <c r="AG455" s="428"/>
      <c r="AH455" s="428"/>
      <c r="AI455" s="428"/>
      <c r="AJ455" s="428"/>
      <c r="AK455" s="428"/>
      <c r="AL455" s="146"/>
    </row>
    <row r="456" spans="2:38" x14ac:dyDescent="0.25">
      <c r="B456" s="382"/>
      <c r="C456" s="382"/>
      <c r="D456" s="382"/>
      <c r="E456" s="382"/>
      <c r="F456" s="382"/>
      <c r="G456" s="29"/>
      <c r="H456" s="29"/>
      <c r="I456" s="29"/>
      <c r="J456" s="29"/>
      <c r="K456" s="29"/>
      <c r="L456" s="29"/>
      <c r="M456" s="29"/>
      <c r="N456" s="29"/>
      <c r="O456" s="29"/>
      <c r="P456" s="29"/>
      <c r="Q456" s="29"/>
      <c r="R456" s="29"/>
      <c r="T456" s="1121"/>
      <c r="U456" s="1121"/>
      <c r="V456" s="1122"/>
      <c r="W456" s="1125">
        <f>'Kalkulace a Porovnání'!W456</f>
        <v>0</v>
      </c>
      <c r="X456" s="1125"/>
      <c r="Y456" s="341">
        <f>'Kalkulace a Porovnání'!Y456</f>
        <v>0</v>
      </c>
      <c r="Z456" s="341">
        <f>'Kalkulace a Porovnání'!Z456</f>
        <v>0</v>
      </c>
      <c r="AA456" s="341">
        <f>'Kalkulace a Porovnání'!AA456</f>
        <v>0</v>
      </c>
      <c r="AB456" s="341">
        <f>'Kalkulace a Porovnání'!AB456</f>
        <v>0</v>
      </c>
      <c r="AC456" s="146"/>
      <c r="AD456" s="428"/>
      <c r="AG456" s="428"/>
      <c r="AH456" s="428"/>
      <c r="AI456" s="428"/>
      <c r="AJ456" s="428"/>
      <c r="AK456" s="428"/>
      <c r="AL456" s="146"/>
    </row>
    <row r="457" spans="2:38" x14ac:dyDescent="0.25">
      <c r="B457" s="29"/>
      <c r="AC457" s="146"/>
      <c r="AD457" s="428"/>
      <c r="AG457" s="428"/>
      <c r="AH457" s="428"/>
      <c r="AI457" s="428"/>
      <c r="AJ457" s="428"/>
      <c r="AK457" s="428"/>
      <c r="AL457" s="146"/>
    </row>
    <row r="458" spans="2:38" x14ac:dyDescent="0.25">
      <c r="B458" s="899" t="s">
        <v>316</v>
      </c>
      <c r="C458" s="900"/>
      <c r="D458" s="900"/>
      <c r="E458" s="900"/>
      <c r="F458" s="900"/>
      <c r="G458" s="900"/>
      <c r="H458" s="900"/>
      <c r="K458" s="899" t="s">
        <v>317</v>
      </c>
      <c r="L458" s="900"/>
      <c r="M458" s="900"/>
      <c r="N458" s="900"/>
      <c r="O458" s="900"/>
      <c r="P458" s="900"/>
      <c r="Q458" s="900"/>
      <c r="T458" s="899" t="s">
        <v>162</v>
      </c>
      <c r="U458" s="900"/>
      <c r="V458" s="900"/>
      <c r="W458" s="900"/>
      <c r="X458" s="900"/>
      <c r="Y458" s="900"/>
      <c r="Z458" s="900"/>
      <c r="AA458" s="900"/>
      <c r="AB458" s="900"/>
      <c r="AC458" s="146"/>
      <c r="AD458" s="428"/>
      <c r="AG458" s="428"/>
      <c r="AH458" s="428"/>
      <c r="AI458" s="428"/>
      <c r="AJ458" s="428"/>
      <c r="AK458" s="428"/>
      <c r="AL458" s="146"/>
    </row>
    <row r="459" spans="2:38" x14ac:dyDescent="0.25">
      <c r="C459" s="272"/>
      <c r="E459" s="25"/>
      <c r="F459" s="25"/>
      <c r="L459" s="25"/>
      <c r="N459" s="25"/>
      <c r="T459" s="1079" t="s">
        <v>318</v>
      </c>
      <c r="U459" s="1079"/>
      <c r="V459" s="1079"/>
      <c r="W459" s="1079"/>
      <c r="X459" s="1079"/>
      <c r="Y459" s="1079"/>
      <c r="Z459" s="1079"/>
      <c r="AA459" s="1079"/>
      <c r="AB459" s="1079"/>
      <c r="AC459" s="146"/>
      <c r="AD459" s="428"/>
      <c r="AG459" s="428"/>
      <c r="AH459" s="428"/>
      <c r="AI459" s="428"/>
      <c r="AJ459" s="428"/>
      <c r="AK459" s="428"/>
      <c r="AL459" s="146"/>
    </row>
    <row r="460" spans="2:38" x14ac:dyDescent="0.25">
      <c r="C460" s="272" t="s">
        <v>103</v>
      </c>
      <c r="D460" s="274">
        <f>'Kalkulace a Porovnání'!D460</f>
        <v>2030</v>
      </c>
      <c r="E460" s="25"/>
      <c r="F460" s="272" t="s">
        <v>221</v>
      </c>
      <c r="G460" s="275" t="str">
        <f>'Kalkulace a Porovnání'!G460</f>
        <v>-</v>
      </c>
      <c r="H460" s="275" t="str">
        <f>'Kalkulace a Porovnání'!H460</f>
        <v xml:space="preserve"> </v>
      </c>
      <c r="L460" s="272" t="s">
        <v>103</v>
      </c>
      <c r="M460" s="274">
        <f>'Kalkulace a Porovnání'!M460</f>
        <v>2030</v>
      </c>
      <c r="O460" s="272" t="s">
        <v>221</v>
      </c>
      <c r="P460" s="275" t="str">
        <f>'Kalkulace a Porovnání'!P460</f>
        <v>-</v>
      </c>
      <c r="Q460" s="275" t="str">
        <f>'Kalkulace a Porovnání'!Q460</f>
        <v xml:space="preserve"> </v>
      </c>
      <c r="T460" s="333"/>
      <c r="U460" s="333"/>
      <c r="V460" s="342" t="s">
        <v>147</v>
      </c>
      <c r="W460" s="274">
        <f>'Kalkulace a Porovnání'!W460</f>
        <v>2030</v>
      </c>
      <c r="Z460" s="272" t="s">
        <v>221</v>
      </c>
      <c r="AA460" s="275" t="str">
        <f>'Kalkulace a Porovnání'!AA460</f>
        <v>-</v>
      </c>
      <c r="AB460" s="275" t="str">
        <f>'Kalkulace a Porovnání'!AB460</f>
        <v xml:space="preserve"> </v>
      </c>
      <c r="AC460" s="146"/>
      <c r="AD460" s="428"/>
      <c r="AG460" s="428"/>
      <c r="AH460" s="428"/>
      <c r="AI460" s="428"/>
      <c r="AJ460" s="428"/>
      <c r="AK460" s="428"/>
      <c r="AL460" s="146"/>
    </row>
    <row r="461" spans="2:38" x14ac:dyDescent="0.25">
      <c r="B461" s="13" t="s">
        <v>66</v>
      </c>
      <c r="C461" s="13" t="s">
        <v>89</v>
      </c>
      <c r="D461" s="1061" t="str">
        <f>'Kalkulace a Porovnání'!D461</f>
        <v>PRVOK s.r.o., IČ 281 28 257</v>
      </c>
      <c r="E461" s="1062"/>
      <c r="F461" s="1062"/>
      <c r="G461" s="1062"/>
      <c r="H461" s="1063"/>
      <c r="K461" s="13" t="s">
        <v>66</v>
      </c>
      <c r="L461" s="13" t="s">
        <v>89</v>
      </c>
      <c r="M461" s="1061" t="str">
        <f>'Kalkulace a Porovnání'!M461</f>
        <v>PRVOK s.r.o., IČ 281 28 257</v>
      </c>
      <c r="N461" s="1062"/>
      <c r="O461" s="1062"/>
      <c r="P461" s="1062"/>
      <c r="Q461" s="1063"/>
      <c r="T461" s="13" t="s">
        <v>66</v>
      </c>
      <c r="U461" s="13" t="s">
        <v>89</v>
      </c>
      <c r="V461" s="1080" t="str">
        <f>'Kalkulace a Porovnání'!V461</f>
        <v>PRVOK s.r.o., IČ 281 28 257</v>
      </c>
      <c r="W461" s="1081"/>
      <c r="X461" s="1081"/>
      <c r="Y461" s="1081"/>
      <c r="Z461" s="1081"/>
      <c r="AA461" s="1081"/>
      <c r="AB461" s="1081"/>
      <c r="AC461" s="146"/>
      <c r="AD461" s="428"/>
      <c r="AG461" s="252"/>
      <c r="AH461" s="252"/>
      <c r="AI461" s="252"/>
      <c r="AJ461" s="252"/>
      <c r="AK461" s="428"/>
      <c r="AL461" s="146"/>
    </row>
    <row r="462" spans="2:38" x14ac:dyDescent="0.25">
      <c r="B462" s="13" t="s">
        <v>84</v>
      </c>
      <c r="C462" s="13" t="s">
        <v>90</v>
      </c>
      <c r="D462" s="1061" t="str">
        <f>'Kalkulace a Porovnání'!D462</f>
        <v>PRVOK s.r.o., IČ 281 28 257</v>
      </c>
      <c r="E462" s="1062"/>
      <c r="F462" s="1062"/>
      <c r="G462" s="1062"/>
      <c r="H462" s="1063"/>
      <c r="K462" s="13" t="s">
        <v>84</v>
      </c>
      <c r="L462" s="13" t="s">
        <v>90</v>
      </c>
      <c r="M462" s="1061" t="str">
        <f>'Kalkulace a Porovnání'!M462</f>
        <v>PRVOK s.r.o., IČ 281 28 257</v>
      </c>
      <c r="N462" s="1062"/>
      <c r="O462" s="1062"/>
      <c r="P462" s="1062"/>
      <c r="Q462" s="1063"/>
      <c r="T462" s="13" t="s">
        <v>84</v>
      </c>
      <c r="U462" s="13" t="s">
        <v>90</v>
      </c>
      <c r="V462" s="1080" t="str">
        <f>'Kalkulace a Porovnání'!V462</f>
        <v>PRVOK s.r.o., IČ 281 28 257</v>
      </c>
      <c r="W462" s="1081"/>
      <c r="X462" s="1081"/>
      <c r="Y462" s="1081"/>
      <c r="Z462" s="1081"/>
      <c r="AA462" s="1081"/>
      <c r="AB462" s="1081"/>
      <c r="AC462" s="146"/>
      <c r="AD462" s="428"/>
      <c r="AG462" s="252"/>
      <c r="AH462" s="252"/>
      <c r="AI462" s="252"/>
      <c r="AJ462" s="252"/>
      <c r="AK462" s="428"/>
      <c r="AL462" s="146"/>
    </row>
    <row r="463" spans="2:38" x14ac:dyDescent="0.25">
      <c r="B463" s="13" t="s">
        <v>85</v>
      </c>
      <c r="C463" s="13" t="s">
        <v>91</v>
      </c>
      <c r="D463" s="1061" t="str">
        <f>'Kalkulace a Porovnání'!D463</f>
        <v>Obec Benešov nad Černou, IČ 00245780</v>
      </c>
      <c r="E463" s="1062"/>
      <c r="F463" s="1062"/>
      <c r="G463" s="1062"/>
      <c r="H463" s="1063"/>
      <c r="K463" s="13" t="s">
        <v>85</v>
      </c>
      <c r="L463" s="13" t="s">
        <v>91</v>
      </c>
      <c r="M463" s="1061" t="str">
        <f>'Kalkulace a Porovnání'!M463</f>
        <v>Obec Benešov nad Černou, IČ 00245780</v>
      </c>
      <c r="N463" s="1062"/>
      <c r="O463" s="1062"/>
      <c r="P463" s="1062"/>
      <c r="Q463" s="1063"/>
      <c r="T463" s="13" t="s">
        <v>85</v>
      </c>
      <c r="U463" s="13" t="s">
        <v>91</v>
      </c>
      <c r="V463" s="1080" t="str">
        <f>'Kalkulace a Porovnání'!V463</f>
        <v>Obec Benešov nad Černou, IČ 00245780</v>
      </c>
      <c r="W463" s="1081"/>
      <c r="X463" s="1081"/>
      <c r="Y463" s="1081"/>
      <c r="Z463" s="1081"/>
      <c r="AA463" s="1081"/>
      <c r="AB463" s="1081"/>
      <c r="AC463" s="146"/>
      <c r="AD463" s="428"/>
      <c r="AG463" s="252"/>
      <c r="AH463" s="252"/>
      <c r="AI463" s="252"/>
      <c r="AJ463" s="252"/>
      <c r="AK463" s="428"/>
      <c r="AL463" s="146"/>
    </row>
    <row r="464" spans="2:38" x14ac:dyDescent="0.25">
      <c r="B464" s="13" t="s">
        <v>86</v>
      </c>
      <c r="C464" s="13" t="s">
        <v>93</v>
      </c>
      <c r="D464" s="1061" t="str">
        <f>'Kalkulace a Porovnání'!D464</f>
        <v>A</v>
      </c>
      <c r="E464" s="1062"/>
      <c r="F464" s="1062"/>
      <c r="G464" s="1062"/>
      <c r="H464" s="1063"/>
      <c r="K464" s="13" t="s">
        <v>86</v>
      </c>
      <c r="L464" s="13" t="s">
        <v>93</v>
      </c>
      <c r="M464" s="1061" t="str">
        <f>'Kalkulace a Porovnání'!M464</f>
        <v>A</v>
      </c>
      <c r="N464" s="1062"/>
      <c r="O464" s="1062"/>
      <c r="P464" s="1062"/>
      <c r="Q464" s="1063"/>
      <c r="T464" s="13" t="s">
        <v>86</v>
      </c>
      <c r="U464" s="13" t="s">
        <v>93</v>
      </c>
      <c r="V464" s="1080" t="str">
        <f>'Kalkulace a Porovnání'!V464</f>
        <v>A</v>
      </c>
      <c r="W464" s="1081"/>
      <c r="X464" s="1081"/>
      <c r="Y464" s="1081"/>
      <c r="Z464" s="1081"/>
      <c r="AA464" s="1081"/>
      <c r="AB464" s="1081"/>
      <c r="AC464" s="146"/>
      <c r="AD464" s="428"/>
      <c r="AG464" s="252"/>
      <c r="AH464" s="252"/>
      <c r="AI464" s="252"/>
      <c r="AJ464" s="252"/>
      <c r="AK464" s="428"/>
      <c r="AL464" s="146"/>
    </row>
    <row r="465" spans="2:38" x14ac:dyDescent="0.25">
      <c r="B465" s="13" t="s">
        <v>87</v>
      </c>
      <c r="C465" s="13" t="s">
        <v>92</v>
      </c>
      <c r="D465" s="1061">
        <f>'Kalkulace a Porovnání'!D465</f>
        <v>1</v>
      </c>
      <c r="E465" s="1062"/>
      <c r="F465" s="1062"/>
      <c r="G465" s="1062"/>
      <c r="H465" s="1063"/>
      <c r="K465" s="13" t="s">
        <v>87</v>
      </c>
      <c r="L465" s="13" t="s">
        <v>92</v>
      </c>
      <c r="M465" s="1061">
        <f>'Kalkulace a Porovnání'!M465</f>
        <v>1</v>
      </c>
      <c r="N465" s="1062"/>
      <c r="O465" s="1062"/>
      <c r="P465" s="1062"/>
      <c r="Q465" s="1063"/>
      <c r="T465" s="13" t="s">
        <v>87</v>
      </c>
      <c r="U465" s="13" t="s">
        <v>92</v>
      </c>
      <c r="V465" s="1080">
        <f>'Kalkulace a Porovnání'!V465</f>
        <v>1</v>
      </c>
      <c r="W465" s="1081"/>
      <c r="X465" s="1081"/>
      <c r="Y465" s="1081"/>
      <c r="Z465" s="1081"/>
      <c r="AA465" s="1081"/>
      <c r="AB465" s="1081"/>
      <c r="AC465" s="146"/>
      <c r="AD465" s="428"/>
      <c r="AG465" s="252"/>
      <c r="AH465" s="252"/>
      <c r="AI465" s="252"/>
      <c r="AJ465" s="252"/>
      <c r="AK465" s="428"/>
      <c r="AL465" s="146"/>
    </row>
    <row r="466" spans="2:38" x14ac:dyDescent="0.25">
      <c r="B466" s="13" t="s">
        <v>88</v>
      </c>
      <c r="C466" s="13" t="s">
        <v>94</v>
      </c>
      <c r="D466" s="1061" t="str">
        <f>'Kalkulace a Porovnání'!D466</f>
        <v>[vyplnit]</v>
      </c>
      <c r="E466" s="1062"/>
      <c r="F466" s="1062"/>
      <c r="G466" s="1062"/>
      <c r="H466" s="1063"/>
      <c r="K466" s="13" t="s">
        <v>88</v>
      </c>
      <c r="L466" s="13" t="s">
        <v>94</v>
      </c>
      <c r="M466" s="1061" t="str">
        <f>'Kalkulace a Porovnání'!M466</f>
        <v xml:space="preserve"> </v>
      </c>
      <c r="N466" s="1062"/>
      <c r="O466" s="1062"/>
      <c r="P466" s="1062"/>
      <c r="Q466" s="1063"/>
      <c r="T466" s="13" t="s">
        <v>88</v>
      </c>
      <c r="U466" s="13" t="s">
        <v>94</v>
      </c>
      <c r="V466" s="1080" t="str">
        <f>'Kalkulace a Porovnání'!V466</f>
        <v xml:space="preserve"> </v>
      </c>
      <c r="W466" s="1081"/>
      <c r="X466" s="1081"/>
      <c r="Y466" s="1081"/>
      <c r="Z466" s="1081"/>
      <c r="AA466" s="1081"/>
      <c r="AB466" s="1081"/>
      <c r="AC466" s="146"/>
      <c r="AD466" s="428"/>
      <c r="AG466" s="252"/>
      <c r="AH466" s="252"/>
      <c r="AI466" s="252"/>
      <c r="AJ466" s="252"/>
      <c r="AK466" s="428"/>
      <c r="AL466" s="146"/>
    </row>
    <row r="467" spans="2:38" x14ac:dyDescent="0.25">
      <c r="AC467" s="146"/>
      <c r="AD467" s="428"/>
      <c r="AG467" s="252"/>
      <c r="AH467" s="252"/>
      <c r="AI467" s="252"/>
      <c r="AJ467" s="252"/>
      <c r="AK467" s="428"/>
      <c r="AL467" s="146"/>
    </row>
    <row r="468" spans="2:38" x14ac:dyDescent="0.25">
      <c r="B468" s="1052" t="s">
        <v>5</v>
      </c>
      <c r="C468" s="884" t="s">
        <v>0</v>
      </c>
      <c r="D468" s="868"/>
      <c r="E468" s="868"/>
      <c r="F468" s="868"/>
      <c r="G468" s="868"/>
      <c r="H468" s="869"/>
      <c r="K468" s="1052" t="s">
        <v>5</v>
      </c>
      <c r="L468" s="884" t="s">
        <v>0</v>
      </c>
      <c r="M468" s="868"/>
      <c r="N468" s="868"/>
      <c r="O468" s="868"/>
      <c r="P468" s="868"/>
      <c r="Q468" s="869"/>
      <c r="T468" s="1052" t="s">
        <v>5</v>
      </c>
      <c r="U468" s="884" t="s">
        <v>0</v>
      </c>
      <c r="V468" s="868"/>
      <c r="W468" s="868"/>
      <c r="X468" s="868"/>
      <c r="Y468" s="868"/>
      <c r="Z468" s="868"/>
      <c r="AA468" s="868"/>
      <c r="AB468" s="869"/>
      <c r="AC468" s="146"/>
      <c r="AD468" s="428"/>
      <c r="AG468" s="252"/>
      <c r="AH468" s="252"/>
      <c r="AI468" s="252"/>
      <c r="AJ468" s="252"/>
      <c r="AK468" s="428"/>
      <c r="AL468" s="146"/>
    </row>
    <row r="469" spans="2:38" x14ac:dyDescent="0.25">
      <c r="B469" s="1053"/>
      <c r="C469" s="1052" t="s">
        <v>1</v>
      </c>
      <c r="D469" s="1065" t="s">
        <v>133</v>
      </c>
      <c r="E469" s="884" t="s">
        <v>3</v>
      </c>
      <c r="F469" s="868"/>
      <c r="G469" s="884" t="s">
        <v>4</v>
      </c>
      <c r="H469" s="869"/>
      <c r="K469" s="1053"/>
      <c r="L469" s="1052" t="s">
        <v>1</v>
      </c>
      <c r="M469" s="1065" t="s">
        <v>133</v>
      </c>
      <c r="N469" s="884" t="s">
        <v>3</v>
      </c>
      <c r="O469" s="868"/>
      <c r="P469" s="884" t="s">
        <v>4</v>
      </c>
      <c r="Q469" s="869"/>
      <c r="T469" s="1053"/>
      <c r="U469" s="1052" t="s">
        <v>1</v>
      </c>
      <c r="V469" s="1065" t="s">
        <v>133</v>
      </c>
      <c r="W469" s="884" t="s">
        <v>3</v>
      </c>
      <c r="X469" s="868"/>
      <c r="Y469" s="868"/>
      <c r="Z469" s="884" t="s">
        <v>4</v>
      </c>
      <c r="AA469" s="868"/>
      <c r="AB469" s="869"/>
      <c r="AC469" s="146"/>
      <c r="AD469" s="428"/>
      <c r="AG469" s="252"/>
      <c r="AH469" s="252"/>
      <c r="AI469" s="252"/>
      <c r="AJ469" s="252"/>
      <c r="AK469" s="428"/>
      <c r="AL469" s="146"/>
    </row>
    <row r="470" spans="2:38" x14ac:dyDescent="0.25">
      <c r="B470" s="1053"/>
      <c r="C470" s="1053"/>
      <c r="D470" s="1053"/>
      <c r="E470" s="28">
        <f>'Kalkulace a Porovnání'!E470</f>
        <v>2029</v>
      </c>
      <c r="F470" s="28">
        <f>'Kalkulace a Porovnání'!F470</f>
        <v>2030</v>
      </c>
      <c r="G470" s="28">
        <f>'Kalkulace a Porovnání'!G470</f>
        <v>2029</v>
      </c>
      <c r="H470" s="28">
        <f>'Kalkulace a Porovnání'!H470</f>
        <v>2030</v>
      </c>
      <c r="K470" s="1053"/>
      <c r="L470" s="1053"/>
      <c r="M470" s="1053"/>
      <c r="N470" s="28">
        <f>'Kalkulace a Porovnání'!N470</f>
        <v>2029</v>
      </c>
      <c r="O470" s="28">
        <f>'Kalkulace a Porovnání'!O470</f>
        <v>2030</v>
      </c>
      <c r="P470" s="28">
        <f>'Kalkulace a Porovnání'!P470</f>
        <v>2029</v>
      </c>
      <c r="Q470" s="28">
        <f>'Kalkulace a Porovnání'!Q470</f>
        <v>2030</v>
      </c>
      <c r="T470" s="1053"/>
      <c r="U470" s="1053"/>
      <c r="V470" s="1053"/>
      <c r="W470" s="28">
        <f>'Kalkulace a Porovnání'!W470</f>
        <v>2030</v>
      </c>
      <c r="X470" s="28">
        <f>'Kalkulace a Porovnání'!X470</f>
        <v>2030</v>
      </c>
      <c r="Y470" s="28">
        <f>'Kalkulace a Porovnání'!Y470</f>
        <v>2030</v>
      </c>
      <c r="Z470" s="28">
        <f>'Kalkulace a Porovnání'!Z470</f>
        <v>2030</v>
      </c>
      <c r="AA470" s="28">
        <f>'Kalkulace a Porovnání'!AA470</f>
        <v>2030</v>
      </c>
      <c r="AB470" s="28">
        <f>'Kalkulace a Porovnání'!AB470</f>
        <v>2030</v>
      </c>
      <c r="AC470" s="146"/>
      <c r="AD470" s="428"/>
      <c r="AG470" s="252"/>
      <c r="AH470" s="252"/>
      <c r="AI470" s="252"/>
      <c r="AJ470" s="252"/>
      <c r="AK470" s="428"/>
      <c r="AL470" s="146"/>
    </row>
    <row r="471" spans="2:38" x14ac:dyDescent="0.25">
      <c r="B471" s="1054"/>
      <c r="C471" s="1054"/>
      <c r="D471" s="1054"/>
      <c r="E471" s="7" t="s">
        <v>151</v>
      </c>
      <c r="F471" s="7" t="s">
        <v>98</v>
      </c>
      <c r="G471" s="7" t="s">
        <v>151</v>
      </c>
      <c r="H471" s="19" t="s">
        <v>98</v>
      </c>
      <c r="K471" s="1054"/>
      <c r="L471" s="1054"/>
      <c r="M471" s="1054"/>
      <c r="N471" s="7" t="s">
        <v>151</v>
      </c>
      <c r="O471" s="7" t="s">
        <v>98</v>
      </c>
      <c r="P471" s="7" t="s">
        <v>151</v>
      </c>
      <c r="Q471" s="19" t="s">
        <v>98</v>
      </c>
      <c r="T471" s="1054"/>
      <c r="U471" s="1054"/>
      <c r="V471" s="1054"/>
      <c r="W471" s="7" t="s">
        <v>150</v>
      </c>
      <c r="X471" s="7" t="s">
        <v>98</v>
      </c>
      <c r="Y471" s="7" t="s">
        <v>149</v>
      </c>
      <c r="Z471" s="7" t="s">
        <v>150</v>
      </c>
      <c r="AA471" s="7" t="s">
        <v>98</v>
      </c>
      <c r="AB471" s="19" t="s">
        <v>149</v>
      </c>
      <c r="AC471" s="146"/>
      <c r="AD471" s="428"/>
      <c r="AG471" s="252"/>
      <c r="AH471" s="252"/>
      <c r="AI471" s="252"/>
      <c r="AJ471" s="252"/>
      <c r="AK471" s="428"/>
      <c r="AL471" s="146"/>
    </row>
    <row r="472" spans="2:38" x14ac:dyDescent="0.25">
      <c r="B472" s="11">
        <v>1</v>
      </c>
      <c r="C472" s="11">
        <v>2</v>
      </c>
      <c r="D472" s="11" t="s">
        <v>95</v>
      </c>
      <c r="E472" s="11">
        <v>3</v>
      </c>
      <c r="F472" s="11">
        <v>4</v>
      </c>
      <c r="G472" s="11">
        <v>6</v>
      </c>
      <c r="H472" s="22">
        <v>7</v>
      </c>
      <c r="K472" s="11">
        <v>1</v>
      </c>
      <c r="L472" s="11">
        <v>2</v>
      </c>
      <c r="M472" s="11" t="s">
        <v>95</v>
      </c>
      <c r="N472" s="11">
        <v>3</v>
      </c>
      <c r="O472" s="11">
        <v>4</v>
      </c>
      <c r="P472" s="11">
        <v>6</v>
      </c>
      <c r="Q472" s="22">
        <v>7</v>
      </c>
      <c r="T472" s="11">
        <v>1</v>
      </c>
      <c r="U472" s="11">
        <v>2</v>
      </c>
      <c r="V472" s="11" t="s">
        <v>95</v>
      </c>
      <c r="W472" s="11">
        <v>3</v>
      </c>
      <c r="X472" s="11">
        <v>4</v>
      </c>
      <c r="Y472" s="11">
        <v>5</v>
      </c>
      <c r="Z472" s="11">
        <v>6</v>
      </c>
      <c r="AA472" s="11">
        <v>7</v>
      </c>
      <c r="AB472" s="22">
        <v>8</v>
      </c>
      <c r="AC472" s="146"/>
      <c r="AD472" s="428"/>
      <c r="AG472" s="252"/>
      <c r="AH472" s="252"/>
      <c r="AI472" s="252"/>
      <c r="AJ472" s="252"/>
      <c r="AK472" s="428"/>
      <c r="AL472" s="146"/>
    </row>
    <row r="473" spans="2:38" x14ac:dyDescent="0.25">
      <c r="B473" s="9" t="s">
        <v>8</v>
      </c>
      <c r="C473" s="10" t="s">
        <v>9</v>
      </c>
      <c r="D473" s="11" t="s">
        <v>10</v>
      </c>
      <c r="E473" s="41">
        <f>'Kalkulace a Porovnání'!E473</f>
        <v>0</v>
      </c>
      <c r="F473" s="41">
        <f>'Kalkulace a Porovnání'!F473</f>
        <v>0</v>
      </c>
      <c r="G473" s="41">
        <f>'Kalkulace a Porovnání'!G473</f>
        <v>0</v>
      </c>
      <c r="H473" s="86">
        <f>'Kalkulace a Porovnání'!H473</f>
        <v>0</v>
      </c>
      <c r="K473" s="9" t="s">
        <v>8</v>
      </c>
      <c r="L473" s="10" t="s">
        <v>9</v>
      </c>
      <c r="M473" s="11" t="s">
        <v>10</v>
      </c>
      <c r="N473" s="41">
        <f>'Kalkulace a Porovnání'!N473</f>
        <v>0</v>
      </c>
      <c r="O473" s="41">
        <f>'Kalkulace a Porovnání'!O473</f>
        <v>0</v>
      </c>
      <c r="P473" s="41">
        <f>'Kalkulace a Porovnání'!P473</f>
        <v>0</v>
      </c>
      <c r="Q473" s="86">
        <f>'Kalkulace a Porovnání'!Q473</f>
        <v>0</v>
      </c>
      <c r="T473" s="9" t="s">
        <v>8</v>
      </c>
      <c r="U473" s="10" t="s">
        <v>9</v>
      </c>
      <c r="V473" s="11" t="s">
        <v>10</v>
      </c>
      <c r="W473" s="41">
        <f>'Kalkulace a Porovnání'!W473</f>
        <v>0</v>
      </c>
      <c r="X473" s="41">
        <f>'Kalkulace a Porovnání'!X473</f>
        <v>0</v>
      </c>
      <c r="Y473" s="41">
        <f>'Kalkulace a Porovnání'!Y473</f>
        <v>0</v>
      </c>
      <c r="Z473" s="41">
        <f>'Kalkulace a Porovnání'!Z473</f>
        <v>0</v>
      </c>
      <c r="AA473" s="41">
        <f>'Kalkulace a Porovnání'!AA473</f>
        <v>0</v>
      </c>
      <c r="AB473" s="86">
        <f>'Kalkulace a Porovnání'!AB473</f>
        <v>0</v>
      </c>
      <c r="AC473" s="146"/>
      <c r="AD473" s="428"/>
      <c r="AG473" s="252"/>
      <c r="AH473" s="252"/>
      <c r="AI473" s="252"/>
      <c r="AJ473" s="252"/>
      <c r="AK473" s="428"/>
      <c r="AL473" s="146"/>
    </row>
    <row r="474" spans="2:38" x14ac:dyDescent="0.25">
      <c r="B474" s="12" t="s">
        <v>11</v>
      </c>
      <c r="C474" s="13" t="s">
        <v>12</v>
      </c>
      <c r="D474" s="3" t="s">
        <v>10</v>
      </c>
      <c r="E474" s="44">
        <f>'Kalkulace a Porovnání'!E474</f>
        <v>0</v>
      </c>
      <c r="F474" s="44">
        <f>'Kalkulace a Porovnání'!F474</f>
        <v>0</v>
      </c>
      <c r="G474" s="44">
        <f>'Kalkulace a Porovnání'!G474</f>
        <v>0</v>
      </c>
      <c r="H474" s="30">
        <f>'Kalkulace a Porovnání'!H474</f>
        <v>0</v>
      </c>
      <c r="K474" s="12" t="s">
        <v>11</v>
      </c>
      <c r="L474" s="13" t="s">
        <v>12</v>
      </c>
      <c r="M474" s="3" t="s">
        <v>10</v>
      </c>
      <c r="N474" s="44">
        <f>'Kalkulace a Porovnání'!N474</f>
        <v>0</v>
      </c>
      <c r="O474" s="44">
        <f>'Kalkulace a Porovnání'!O474</f>
        <v>0</v>
      </c>
      <c r="P474" s="44">
        <f>'Kalkulace a Porovnání'!P474</f>
        <v>0</v>
      </c>
      <c r="Q474" s="30">
        <f>'Kalkulace a Porovnání'!Q474</f>
        <v>0</v>
      </c>
      <c r="T474" s="12" t="s">
        <v>11</v>
      </c>
      <c r="U474" s="13" t="s">
        <v>12</v>
      </c>
      <c r="V474" s="3" t="s">
        <v>10</v>
      </c>
      <c r="W474" s="44">
        <f>'Kalkulace a Porovnání'!W474</f>
        <v>0</v>
      </c>
      <c r="X474" s="44">
        <f>'Kalkulace a Porovnání'!X474</f>
        <v>0</v>
      </c>
      <c r="Y474" s="44">
        <f>'Kalkulace a Porovnání'!Y474</f>
        <v>0</v>
      </c>
      <c r="Z474" s="44">
        <f>'Kalkulace a Porovnání'!Z474</f>
        <v>0</v>
      </c>
      <c r="AA474" s="44">
        <f>'Kalkulace a Porovnání'!AA474</f>
        <v>0</v>
      </c>
      <c r="AB474" s="30">
        <f>'Kalkulace a Porovnání'!AB474</f>
        <v>0</v>
      </c>
      <c r="AC474" s="146"/>
      <c r="AD474" s="428"/>
      <c r="AG474" s="252"/>
      <c r="AH474" s="252"/>
      <c r="AI474" s="252"/>
      <c r="AJ474" s="252"/>
      <c r="AK474" s="428"/>
      <c r="AL474" s="146"/>
    </row>
    <row r="475" spans="2:38" x14ac:dyDescent="0.25">
      <c r="B475" s="12" t="s">
        <v>13</v>
      </c>
      <c r="C475" s="12" t="s">
        <v>14</v>
      </c>
      <c r="D475" s="3" t="s">
        <v>10</v>
      </c>
      <c r="E475" s="44">
        <f>'Kalkulace a Porovnání'!E475</f>
        <v>0</v>
      </c>
      <c r="F475" s="44">
        <f>'Kalkulace a Porovnání'!F475</f>
        <v>0</v>
      </c>
      <c r="G475" s="44">
        <f>'Kalkulace a Porovnání'!G475</f>
        <v>0</v>
      </c>
      <c r="H475" s="30">
        <f>'Kalkulace a Porovnání'!H475</f>
        <v>0</v>
      </c>
      <c r="K475" s="12" t="s">
        <v>13</v>
      </c>
      <c r="L475" s="12" t="s">
        <v>14</v>
      </c>
      <c r="M475" s="3" t="s">
        <v>10</v>
      </c>
      <c r="N475" s="44">
        <f>'Kalkulace a Porovnání'!N475</f>
        <v>0</v>
      </c>
      <c r="O475" s="44">
        <f>'Kalkulace a Porovnání'!O475</f>
        <v>0</v>
      </c>
      <c r="P475" s="44">
        <f>'Kalkulace a Porovnání'!P475</f>
        <v>0</v>
      </c>
      <c r="Q475" s="30">
        <f>'Kalkulace a Porovnání'!Q475</f>
        <v>0</v>
      </c>
      <c r="T475" s="12" t="s">
        <v>13</v>
      </c>
      <c r="U475" s="12" t="s">
        <v>14</v>
      </c>
      <c r="V475" s="3" t="s">
        <v>10</v>
      </c>
      <c r="W475" s="44">
        <f>'Kalkulace a Porovnání'!W475</f>
        <v>0</v>
      </c>
      <c r="X475" s="44">
        <f>'Kalkulace a Porovnání'!X475</f>
        <v>0</v>
      </c>
      <c r="Y475" s="44">
        <f>'Kalkulace a Porovnání'!Y475</f>
        <v>0</v>
      </c>
      <c r="Z475" s="44">
        <f>'Kalkulace a Porovnání'!Z475</f>
        <v>0</v>
      </c>
      <c r="AA475" s="44">
        <f>'Kalkulace a Porovnání'!AA475</f>
        <v>0</v>
      </c>
      <c r="AB475" s="30">
        <f>'Kalkulace a Porovnání'!AB475</f>
        <v>0</v>
      </c>
      <c r="AC475" s="146"/>
      <c r="AD475" s="428"/>
      <c r="AG475" s="252"/>
      <c r="AH475" s="252"/>
      <c r="AI475" s="252"/>
      <c r="AJ475" s="252"/>
      <c r="AK475" s="428"/>
      <c r="AL475" s="146"/>
    </row>
    <row r="476" spans="2:38" x14ac:dyDescent="0.25">
      <c r="B476" s="12" t="s">
        <v>15</v>
      </c>
      <c r="C476" s="13" t="s">
        <v>16</v>
      </c>
      <c r="D476" s="3" t="s">
        <v>10</v>
      </c>
      <c r="E476" s="44">
        <f>'Kalkulace a Porovnání'!E476</f>
        <v>0</v>
      </c>
      <c r="F476" s="44">
        <f>'Kalkulace a Porovnání'!F476</f>
        <v>0</v>
      </c>
      <c r="G476" s="44">
        <f>'Kalkulace a Porovnání'!G476</f>
        <v>0</v>
      </c>
      <c r="H476" s="30">
        <f>'Kalkulace a Porovnání'!H476</f>
        <v>0</v>
      </c>
      <c r="K476" s="12" t="s">
        <v>15</v>
      </c>
      <c r="L476" s="13" t="s">
        <v>16</v>
      </c>
      <c r="M476" s="3" t="s">
        <v>10</v>
      </c>
      <c r="N476" s="44">
        <f>'Kalkulace a Porovnání'!N476</f>
        <v>0</v>
      </c>
      <c r="O476" s="44">
        <f>'Kalkulace a Porovnání'!O476</f>
        <v>0</v>
      </c>
      <c r="P476" s="44">
        <f>'Kalkulace a Porovnání'!P476</f>
        <v>0</v>
      </c>
      <c r="Q476" s="30">
        <f>'Kalkulace a Porovnání'!Q476</f>
        <v>0</v>
      </c>
      <c r="T476" s="12" t="s">
        <v>15</v>
      </c>
      <c r="U476" s="13" t="s">
        <v>16</v>
      </c>
      <c r="V476" s="3" t="s">
        <v>10</v>
      </c>
      <c r="W476" s="44">
        <f>'Kalkulace a Porovnání'!W476</f>
        <v>0</v>
      </c>
      <c r="X476" s="44">
        <f>'Kalkulace a Porovnání'!X476</f>
        <v>0</v>
      </c>
      <c r="Y476" s="44">
        <f>'Kalkulace a Porovnání'!Y476</f>
        <v>0</v>
      </c>
      <c r="Z476" s="44">
        <f>'Kalkulace a Porovnání'!Z476</f>
        <v>0</v>
      </c>
      <c r="AA476" s="44">
        <f>'Kalkulace a Porovnání'!AA476</f>
        <v>0</v>
      </c>
      <c r="AB476" s="30">
        <f>'Kalkulace a Porovnání'!AB476</f>
        <v>0</v>
      </c>
      <c r="AC476" s="146"/>
      <c r="AD476" s="428"/>
      <c r="AG476" s="252"/>
      <c r="AH476" s="252"/>
      <c r="AI476" s="252"/>
      <c r="AJ476" s="252"/>
      <c r="AK476" s="428"/>
      <c r="AL476" s="146"/>
    </row>
    <row r="477" spans="2:38" x14ac:dyDescent="0.25">
      <c r="B477" s="12" t="s">
        <v>17</v>
      </c>
      <c r="C477" s="13" t="s">
        <v>18</v>
      </c>
      <c r="D477" s="3" t="s">
        <v>10</v>
      </c>
      <c r="E477" s="44">
        <f>'Kalkulace a Porovnání'!E477</f>
        <v>0</v>
      </c>
      <c r="F477" s="44">
        <f>'Kalkulace a Porovnání'!F477</f>
        <v>0</v>
      </c>
      <c r="G477" s="44">
        <f>'Kalkulace a Porovnání'!G477</f>
        <v>0</v>
      </c>
      <c r="H477" s="30">
        <f>'Kalkulace a Porovnání'!H477</f>
        <v>0</v>
      </c>
      <c r="K477" s="12" t="s">
        <v>17</v>
      </c>
      <c r="L477" s="13" t="s">
        <v>18</v>
      </c>
      <c r="M477" s="3" t="s">
        <v>10</v>
      </c>
      <c r="N477" s="44">
        <f>'Kalkulace a Porovnání'!N477</f>
        <v>0</v>
      </c>
      <c r="O477" s="44">
        <f>'Kalkulace a Porovnání'!O477</f>
        <v>0</v>
      </c>
      <c r="P477" s="44">
        <f>'Kalkulace a Porovnání'!P477</f>
        <v>0</v>
      </c>
      <c r="Q477" s="30">
        <f>'Kalkulace a Porovnání'!Q477</f>
        <v>0</v>
      </c>
      <c r="T477" s="12" t="s">
        <v>17</v>
      </c>
      <c r="U477" s="13" t="s">
        <v>18</v>
      </c>
      <c r="V477" s="3" t="s">
        <v>10</v>
      </c>
      <c r="W477" s="44">
        <f>'Kalkulace a Porovnání'!W477</f>
        <v>0</v>
      </c>
      <c r="X477" s="44">
        <f>'Kalkulace a Porovnání'!X477</f>
        <v>0</v>
      </c>
      <c r="Y477" s="44">
        <f>'Kalkulace a Porovnání'!Y477</f>
        <v>0</v>
      </c>
      <c r="Z477" s="44">
        <f>'Kalkulace a Porovnání'!Z477</f>
        <v>0</v>
      </c>
      <c r="AA477" s="44">
        <f>'Kalkulace a Porovnání'!AA477</f>
        <v>0</v>
      </c>
      <c r="AB477" s="30">
        <f>'Kalkulace a Porovnání'!AB477</f>
        <v>0</v>
      </c>
      <c r="AC477" s="146"/>
      <c r="AD477" s="428"/>
      <c r="AG477" s="252"/>
      <c r="AH477" s="252"/>
      <c r="AI477" s="252"/>
      <c r="AJ477" s="252"/>
      <c r="AK477" s="428"/>
      <c r="AL477" s="146"/>
    </row>
    <row r="478" spans="2:38" x14ac:dyDescent="0.25">
      <c r="B478" s="9" t="s">
        <v>19</v>
      </c>
      <c r="C478" s="10" t="s">
        <v>20</v>
      </c>
      <c r="D478" s="11" t="s">
        <v>10</v>
      </c>
      <c r="E478" s="41">
        <f>'Kalkulace a Porovnání'!E478</f>
        <v>0</v>
      </c>
      <c r="F478" s="41">
        <f>'Kalkulace a Porovnání'!F478</f>
        <v>0</v>
      </c>
      <c r="G478" s="41">
        <f>'Kalkulace a Porovnání'!G478</f>
        <v>0</v>
      </c>
      <c r="H478" s="86">
        <f>'Kalkulace a Porovnání'!H478</f>
        <v>0</v>
      </c>
      <c r="K478" s="9" t="s">
        <v>19</v>
      </c>
      <c r="L478" s="10" t="s">
        <v>20</v>
      </c>
      <c r="M478" s="11" t="s">
        <v>10</v>
      </c>
      <c r="N478" s="41">
        <f>'Kalkulace a Porovnání'!N478</f>
        <v>0</v>
      </c>
      <c r="O478" s="41">
        <f>'Kalkulace a Porovnání'!O478</f>
        <v>0</v>
      </c>
      <c r="P478" s="41">
        <f>'Kalkulace a Porovnání'!P478</f>
        <v>0</v>
      </c>
      <c r="Q478" s="86">
        <f>'Kalkulace a Porovnání'!Q478</f>
        <v>0</v>
      </c>
      <c r="T478" s="9" t="s">
        <v>19</v>
      </c>
      <c r="U478" s="10" t="s">
        <v>20</v>
      </c>
      <c r="V478" s="11" t="s">
        <v>10</v>
      </c>
      <c r="W478" s="41">
        <f>'Kalkulace a Porovnání'!W478</f>
        <v>0</v>
      </c>
      <c r="X478" s="41">
        <f>'Kalkulace a Porovnání'!X478</f>
        <v>0</v>
      </c>
      <c r="Y478" s="41">
        <f>'Kalkulace a Porovnání'!Y478</f>
        <v>0</v>
      </c>
      <c r="Z478" s="41">
        <f>'Kalkulace a Porovnání'!Z478</f>
        <v>0</v>
      </c>
      <c r="AA478" s="41">
        <f>'Kalkulace a Porovnání'!AA478</f>
        <v>0</v>
      </c>
      <c r="AB478" s="86">
        <f>'Kalkulace a Porovnání'!AB478</f>
        <v>0</v>
      </c>
      <c r="AC478" s="146"/>
      <c r="AD478" s="428"/>
      <c r="AG478" s="252"/>
      <c r="AH478" s="252"/>
      <c r="AI478" s="252"/>
      <c r="AJ478" s="252"/>
      <c r="AK478" s="428"/>
      <c r="AL478" s="146"/>
    </row>
    <row r="479" spans="2:38" x14ac:dyDescent="0.25">
      <c r="B479" s="12" t="s">
        <v>21</v>
      </c>
      <c r="C479" s="12" t="s">
        <v>22</v>
      </c>
      <c r="D479" s="3" t="s">
        <v>10</v>
      </c>
      <c r="E479" s="44">
        <f>'Kalkulace a Porovnání'!E479</f>
        <v>0</v>
      </c>
      <c r="F479" s="44">
        <f>'Kalkulace a Porovnání'!F479</f>
        <v>0</v>
      </c>
      <c r="G479" s="44">
        <f>'Kalkulace a Porovnání'!G479</f>
        <v>0</v>
      </c>
      <c r="H479" s="30">
        <f>'Kalkulace a Porovnání'!H479</f>
        <v>0</v>
      </c>
      <c r="K479" s="12" t="s">
        <v>21</v>
      </c>
      <c r="L479" s="12" t="s">
        <v>22</v>
      </c>
      <c r="M479" s="3" t="s">
        <v>10</v>
      </c>
      <c r="N479" s="44">
        <f>'Kalkulace a Porovnání'!N479</f>
        <v>0</v>
      </c>
      <c r="O479" s="44">
        <f>'Kalkulace a Porovnání'!O479</f>
        <v>0</v>
      </c>
      <c r="P479" s="44">
        <f>'Kalkulace a Porovnání'!P479</f>
        <v>0</v>
      </c>
      <c r="Q479" s="30">
        <f>'Kalkulace a Porovnání'!Q479</f>
        <v>0</v>
      </c>
      <c r="T479" s="12" t="s">
        <v>21</v>
      </c>
      <c r="U479" s="12" t="s">
        <v>22</v>
      </c>
      <c r="V479" s="3" t="s">
        <v>10</v>
      </c>
      <c r="W479" s="44">
        <f>'Kalkulace a Porovnání'!W479</f>
        <v>0</v>
      </c>
      <c r="X479" s="44">
        <f>'Kalkulace a Porovnání'!X479</f>
        <v>0</v>
      </c>
      <c r="Y479" s="44">
        <f>'Kalkulace a Porovnání'!Y479</f>
        <v>0</v>
      </c>
      <c r="Z479" s="44">
        <f>'Kalkulace a Porovnání'!Z479</f>
        <v>0</v>
      </c>
      <c r="AA479" s="44">
        <f>'Kalkulace a Porovnání'!AA479</f>
        <v>0</v>
      </c>
      <c r="AB479" s="30">
        <f>'Kalkulace a Porovnání'!AB479</f>
        <v>0</v>
      </c>
      <c r="AC479" s="146"/>
      <c r="AD479" s="428"/>
      <c r="AG479" s="252"/>
      <c r="AH479" s="252"/>
      <c r="AI479" s="252"/>
      <c r="AJ479" s="252"/>
      <c r="AK479" s="428"/>
      <c r="AL479" s="146"/>
    </row>
    <row r="480" spans="2:38" x14ac:dyDescent="0.25">
      <c r="B480" s="12" t="s">
        <v>23</v>
      </c>
      <c r="C480" s="12" t="s">
        <v>24</v>
      </c>
      <c r="D480" s="3" t="s">
        <v>10</v>
      </c>
      <c r="E480" s="44">
        <f>'Kalkulace a Porovnání'!E480</f>
        <v>0</v>
      </c>
      <c r="F480" s="44">
        <f>'Kalkulace a Porovnání'!F480</f>
        <v>0</v>
      </c>
      <c r="G480" s="44">
        <f>'Kalkulace a Porovnání'!G480</f>
        <v>0</v>
      </c>
      <c r="H480" s="30">
        <f>'Kalkulace a Porovnání'!H480</f>
        <v>0</v>
      </c>
      <c r="K480" s="12" t="s">
        <v>23</v>
      </c>
      <c r="L480" s="12" t="s">
        <v>24</v>
      </c>
      <c r="M480" s="3" t="s">
        <v>10</v>
      </c>
      <c r="N480" s="44">
        <f>'Kalkulace a Porovnání'!N480</f>
        <v>0</v>
      </c>
      <c r="O480" s="44">
        <f>'Kalkulace a Porovnání'!O480</f>
        <v>0</v>
      </c>
      <c r="P480" s="44">
        <f>'Kalkulace a Porovnání'!P480</f>
        <v>0</v>
      </c>
      <c r="Q480" s="30">
        <f>'Kalkulace a Porovnání'!Q480</f>
        <v>0</v>
      </c>
      <c r="T480" s="12" t="s">
        <v>23</v>
      </c>
      <c r="U480" s="12" t="s">
        <v>24</v>
      </c>
      <c r="V480" s="3" t="s">
        <v>10</v>
      </c>
      <c r="W480" s="44">
        <f>'Kalkulace a Porovnání'!W480</f>
        <v>0</v>
      </c>
      <c r="X480" s="44">
        <f>'Kalkulace a Porovnání'!X480</f>
        <v>0</v>
      </c>
      <c r="Y480" s="44">
        <f>'Kalkulace a Porovnání'!Y480</f>
        <v>0</v>
      </c>
      <c r="Z480" s="44">
        <f>'Kalkulace a Porovnání'!Z480</f>
        <v>0</v>
      </c>
      <c r="AA480" s="44">
        <f>'Kalkulace a Porovnání'!AA480</f>
        <v>0</v>
      </c>
      <c r="AB480" s="30">
        <f>'Kalkulace a Porovnání'!AB480</f>
        <v>0</v>
      </c>
      <c r="AC480" s="146"/>
      <c r="AD480" s="428"/>
      <c r="AG480" s="252"/>
      <c r="AH480" s="252"/>
      <c r="AI480" s="252"/>
      <c r="AJ480" s="252"/>
      <c r="AK480" s="428"/>
      <c r="AL480" s="146"/>
    </row>
    <row r="481" spans="2:38" x14ac:dyDescent="0.25">
      <c r="B481" s="9" t="s">
        <v>25</v>
      </c>
      <c r="C481" s="10" t="s">
        <v>400</v>
      </c>
      <c r="D481" s="11" t="s">
        <v>10</v>
      </c>
      <c r="E481" s="41">
        <f>'Kalkulace a Porovnání'!E481</f>
        <v>0</v>
      </c>
      <c r="F481" s="41">
        <f>'Kalkulace a Porovnání'!F481</f>
        <v>0</v>
      </c>
      <c r="G481" s="41">
        <f>'Kalkulace a Porovnání'!G481</f>
        <v>0</v>
      </c>
      <c r="H481" s="86">
        <f>'Kalkulace a Porovnání'!H481</f>
        <v>0</v>
      </c>
      <c r="K481" s="9" t="s">
        <v>25</v>
      </c>
      <c r="L481" s="10" t="s">
        <v>400</v>
      </c>
      <c r="M481" s="11" t="s">
        <v>10</v>
      </c>
      <c r="N481" s="41">
        <f>'Kalkulace a Porovnání'!N481</f>
        <v>0</v>
      </c>
      <c r="O481" s="41">
        <f>'Kalkulace a Porovnání'!O481</f>
        <v>0</v>
      </c>
      <c r="P481" s="41">
        <f>'Kalkulace a Porovnání'!P481</f>
        <v>0</v>
      </c>
      <c r="Q481" s="86">
        <f>'Kalkulace a Porovnání'!Q481</f>
        <v>0</v>
      </c>
      <c r="T481" s="9" t="s">
        <v>25</v>
      </c>
      <c r="U481" s="10" t="s">
        <v>400</v>
      </c>
      <c r="V481" s="11" t="s">
        <v>10</v>
      </c>
      <c r="W481" s="41">
        <f>'Kalkulace a Porovnání'!W481</f>
        <v>0</v>
      </c>
      <c r="X481" s="41">
        <f>'Kalkulace a Porovnání'!X481</f>
        <v>0</v>
      </c>
      <c r="Y481" s="41">
        <f>'Kalkulace a Porovnání'!Y481</f>
        <v>0</v>
      </c>
      <c r="Z481" s="41">
        <f>'Kalkulace a Porovnání'!Z481</f>
        <v>0</v>
      </c>
      <c r="AA481" s="41">
        <f>'Kalkulace a Porovnání'!AA481</f>
        <v>0</v>
      </c>
      <c r="AB481" s="86">
        <f>'Kalkulace a Porovnání'!AB481</f>
        <v>0</v>
      </c>
      <c r="AC481" s="146"/>
      <c r="AD481" s="428"/>
      <c r="AG481" s="252"/>
      <c r="AH481" s="252"/>
      <c r="AI481" s="252"/>
      <c r="AJ481" s="252"/>
      <c r="AK481" s="428"/>
      <c r="AL481" s="146"/>
    </row>
    <row r="482" spans="2:38" x14ac:dyDescent="0.25">
      <c r="B482" s="12" t="s">
        <v>26</v>
      </c>
      <c r="C482" s="13" t="s">
        <v>390</v>
      </c>
      <c r="D482" s="3" t="s">
        <v>10</v>
      </c>
      <c r="E482" s="44">
        <f>'Kalkulace a Porovnání'!E482</f>
        <v>0</v>
      </c>
      <c r="F482" s="44">
        <f>'Kalkulace a Porovnání'!F482</f>
        <v>0</v>
      </c>
      <c r="G482" s="44">
        <f>'Kalkulace a Porovnání'!G482</f>
        <v>0</v>
      </c>
      <c r="H482" s="30">
        <f>'Kalkulace a Porovnání'!H482</f>
        <v>0</v>
      </c>
      <c r="K482" s="12" t="s">
        <v>26</v>
      </c>
      <c r="L482" s="13" t="s">
        <v>390</v>
      </c>
      <c r="M482" s="3" t="s">
        <v>10</v>
      </c>
      <c r="N482" s="44">
        <f>'Kalkulace a Porovnání'!N482</f>
        <v>0</v>
      </c>
      <c r="O482" s="44">
        <f>'Kalkulace a Porovnání'!O482</f>
        <v>0</v>
      </c>
      <c r="P482" s="44">
        <f>'Kalkulace a Porovnání'!P482</f>
        <v>0</v>
      </c>
      <c r="Q482" s="30">
        <f>'Kalkulace a Porovnání'!Q482</f>
        <v>0</v>
      </c>
      <c r="T482" s="12" t="s">
        <v>26</v>
      </c>
      <c r="U482" s="13" t="s">
        <v>390</v>
      </c>
      <c r="V482" s="3" t="s">
        <v>10</v>
      </c>
      <c r="W482" s="44">
        <f>'Kalkulace a Porovnání'!W482</f>
        <v>0</v>
      </c>
      <c r="X482" s="44">
        <f>'Kalkulace a Porovnání'!X482</f>
        <v>0</v>
      </c>
      <c r="Y482" s="44">
        <f>'Kalkulace a Porovnání'!Y482</f>
        <v>0</v>
      </c>
      <c r="Z482" s="44">
        <f>'Kalkulace a Porovnání'!Z482</f>
        <v>0</v>
      </c>
      <c r="AA482" s="44">
        <f>'Kalkulace a Porovnání'!AA482</f>
        <v>0</v>
      </c>
      <c r="AB482" s="30">
        <f>'Kalkulace a Porovnání'!AB482</f>
        <v>0</v>
      </c>
      <c r="AC482" s="146"/>
      <c r="AD482" s="428"/>
      <c r="AG482" s="252"/>
      <c r="AH482" s="252"/>
      <c r="AI482" s="252"/>
      <c r="AJ482" s="252"/>
      <c r="AK482" s="428"/>
      <c r="AL482" s="146"/>
    </row>
    <row r="483" spans="2:38" x14ac:dyDescent="0.25">
      <c r="B483" s="12" t="s">
        <v>27</v>
      </c>
      <c r="C483" s="13" t="s">
        <v>401</v>
      </c>
      <c r="D483" s="3" t="s">
        <v>10</v>
      </c>
      <c r="E483" s="44">
        <f>'Kalkulace a Porovnání'!E483</f>
        <v>0</v>
      </c>
      <c r="F483" s="44">
        <f>'Kalkulace a Porovnání'!F483</f>
        <v>0</v>
      </c>
      <c r="G483" s="44">
        <f>'Kalkulace a Porovnání'!G483</f>
        <v>0</v>
      </c>
      <c r="H483" s="30">
        <f>'Kalkulace a Porovnání'!H483</f>
        <v>0</v>
      </c>
      <c r="K483" s="12" t="s">
        <v>27</v>
      </c>
      <c r="L483" s="13" t="s">
        <v>401</v>
      </c>
      <c r="M483" s="3" t="s">
        <v>10</v>
      </c>
      <c r="N483" s="44">
        <f>'Kalkulace a Porovnání'!N483</f>
        <v>0</v>
      </c>
      <c r="O483" s="44">
        <f>'Kalkulace a Porovnání'!O483</f>
        <v>0</v>
      </c>
      <c r="P483" s="44">
        <f>'Kalkulace a Porovnání'!P483</f>
        <v>0</v>
      </c>
      <c r="Q483" s="30">
        <f>'Kalkulace a Porovnání'!Q483</f>
        <v>0</v>
      </c>
      <c r="T483" s="12" t="s">
        <v>27</v>
      </c>
      <c r="U483" s="13" t="s">
        <v>401</v>
      </c>
      <c r="V483" s="3" t="s">
        <v>10</v>
      </c>
      <c r="W483" s="44">
        <f>'Kalkulace a Porovnání'!W483</f>
        <v>0</v>
      </c>
      <c r="X483" s="44">
        <f>'Kalkulace a Porovnání'!X483</f>
        <v>0</v>
      </c>
      <c r="Y483" s="44">
        <f>'Kalkulace a Porovnání'!Y483</f>
        <v>0</v>
      </c>
      <c r="Z483" s="44">
        <f>'Kalkulace a Porovnání'!Z483</f>
        <v>0</v>
      </c>
      <c r="AA483" s="44">
        <f>'Kalkulace a Porovnání'!AA483</f>
        <v>0</v>
      </c>
      <c r="AB483" s="30">
        <f>'Kalkulace a Porovnání'!AB483</f>
        <v>0</v>
      </c>
      <c r="AC483" s="146"/>
      <c r="AD483" s="428"/>
      <c r="AG483" s="252"/>
      <c r="AH483" s="252"/>
      <c r="AI483" s="252"/>
      <c r="AJ483" s="252"/>
      <c r="AK483" s="428"/>
      <c r="AL483" s="146"/>
    </row>
    <row r="484" spans="2:38" x14ac:dyDescent="0.25">
      <c r="B484" s="9" t="s">
        <v>28</v>
      </c>
      <c r="C484" s="10" t="s">
        <v>29</v>
      </c>
      <c r="D484" s="11" t="s">
        <v>10</v>
      </c>
      <c r="E484" s="41">
        <f>'Kalkulace a Porovnání'!E484</f>
        <v>0</v>
      </c>
      <c r="F484" s="41">
        <f>'Kalkulace a Porovnání'!F484</f>
        <v>0</v>
      </c>
      <c r="G484" s="41">
        <f>'Kalkulace a Porovnání'!G484</f>
        <v>0</v>
      </c>
      <c r="H484" s="86">
        <f>'Kalkulace a Porovnání'!H484</f>
        <v>0</v>
      </c>
      <c r="K484" s="9" t="s">
        <v>28</v>
      </c>
      <c r="L484" s="10" t="s">
        <v>29</v>
      </c>
      <c r="M484" s="11" t="s">
        <v>10</v>
      </c>
      <c r="N484" s="41">
        <f>'Kalkulace a Porovnání'!N484</f>
        <v>0</v>
      </c>
      <c r="O484" s="41">
        <f>'Kalkulace a Porovnání'!O484</f>
        <v>0</v>
      </c>
      <c r="P484" s="41">
        <f>'Kalkulace a Porovnání'!P484</f>
        <v>0</v>
      </c>
      <c r="Q484" s="86">
        <f>'Kalkulace a Porovnání'!Q484</f>
        <v>0</v>
      </c>
      <c r="T484" s="9" t="s">
        <v>28</v>
      </c>
      <c r="U484" s="10" t="s">
        <v>29</v>
      </c>
      <c r="V484" s="11" t="s">
        <v>10</v>
      </c>
      <c r="W484" s="41">
        <f>'Kalkulace a Porovnání'!W484</f>
        <v>0</v>
      </c>
      <c r="X484" s="41">
        <f>'Kalkulace a Porovnání'!X484</f>
        <v>0</v>
      </c>
      <c r="Y484" s="41">
        <f>'Kalkulace a Porovnání'!Y484</f>
        <v>0</v>
      </c>
      <c r="Z484" s="41">
        <f>'Kalkulace a Porovnání'!Z484</f>
        <v>0</v>
      </c>
      <c r="AA484" s="41">
        <f>'Kalkulace a Porovnání'!AA484</f>
        <v>0</v>
      </c>
      <c r="AB484" s="86">
        <f>'Kalkulace a Porovnání'!AB484</f>
        <v>0</v>
      </c>
      <c r="AC484" s="146"/>
      <c r="AD484" s="428"/>
      <c r="AG484" s="252"/>
      <c r="AH484" s="252"/>
      <c r="AI484" s="252"/>
      <c r="AJ484" s="252"/>
      <c r="AK484" s="428"/>
      <c r="AL484" s="146"/>
    </row>
    <row r="485" spans="2:38" x14ac:dyDescent="0.25">
      <c r="B485" s="12" t="s">
        <v>30</v>
      </c>
      <c r="C485" s="21" t="s">
        <v>381</v>
      </c>
      <c r="D485" s="3" t="s">
        <v>10</v>
      </c>
      <c r="E485" s="44">
        <f>'Kalkulace a Porovnání'!E485</f>
        <v>0</v>
      </c>
      <c r="F485" s="44">
        <f>'Kalkulace a Porovnání'!F485</f>
        <v>0</v>
      </c>
      <c r="G485" s="44">
        <f>'Kalkulace a Porovnání'!G485</f>
        <v>0</v>
      </c>
      <c r="H485" s="30">
        <f>'Kalkulace a Porovnání'!H485</f>
        <v>0</v>
      </c>
      <c r="K485" s="12" t="s">
        <v>30</v>
      </c>
      <c r="L485" s="21" t="s">
        <v>381</v>
      </c>
      <c r="M485" s="3" t="s">
        <v>10</v>
      </c>
      <c r="N485" s="44">
        <f>'Kalkulace a Porovnání'!N485</f>
        <v>0</v>
      </c>
      <c r="O485" s="44">
        <f>'Kalkulace a Porovnání'!O485</f>
        <v>0</v>
      </c>
      <c r="P485" s="44">
        <f>'Kalkulace a Porovnání'!P485</f>
        <v>0</v>
      </c>
      <c r="Q485" s="30">
        <f>'Kalkulace a Porovnání'!Q485</f>
        <v>0</v>
      </c>
      <c r="T485" s="12" t="s">
        <v>30</v>
      </c>
      <c r="U485" s="21" t="s">
        <v>381</v>
      </c>
      <c r="V485" s="3" t="s">
        <v>10</v>
      </c>
      <c r="W485" s="44">
        <f>'Kalkulace a Porovnání'!W485</f>
        <v>0</v>
      </c>
      <c r="X485" s="44">
        <f>'Kalkulace a Porovnání'!X485</f>
        <v>0</v>
      </c>
      <c r="Y485" s="44">
        <f>'Kalkulace a Porovnání'!Y485</f>
        <v>0</v>
      </c>
      <c r="Z485" s="44">
        <f>'Kalkulace a Porovnání'!Z485</f>
        <v>0</v>
      </c>
      <c r="AA485" s="44">
        <f>'Kalkulace a Porovnání'!AA485</f>
        <v>0</v>
      </c>
      <c r="AB485" s="30">
        <f>'Kalkulace a Porovnání'!AB485</f>
        <v>0</v>
      </c>
      <c r="AC485" s="146"/>
      <c r="AD485" s="428"/>
      <c r="AG485" s="428"/>
      <c r="AH485" s="428"/>
      <c r="AI485" s="252"/>
      <c r="AJ485" s="252"/>
      <c r="AK485" s="428"/>
      <c r="AL485" s="146"/>
    </row>
    <row r="486" spans="2:38" x14ac:dyDescent="0.25">
      <c r="B486" s="12" t="s">
        <v>32</v>
      </c>
      <c r="C486" s="13" t="s">
        <v>383</v>
      </c>
      <c r="D486" s="3" t="s">
        <v>10</v>
      </c>
      <c r="E486" s="44">
        <f>'Kalkulace a Porovnání'!E486</f>
        <v>0</v>
      </c>
      <c r="F486" s="44">
        <f>'Kalkulace a Porovnání'!F486</f>
        <v>0</v>
      </c>
      <c r="G486" s="44">
        <f>'Kalkulace a Porovnání'!G486</f>
        <v>0</v>
      </c>
      <c r="H486" s="30">
        <f>'Kalkulace a Porovnání'!H486</f>
        <v>0</v>
      </c>
      <c r="K486" s="12" t="s">
        <v>32</v>
      </c>
      <c r="L486" s="13" t="s">
        <v>383</v>
      </c>
      <c r="M486" s="3" t="s">
        <v>10</v>
      </c>
      <c r="N486" s="44">
        <f>'Kalkulace a Porovnání'!N486</f>
        <v>0</v>
      </c>
      <c r="O486" s="44">
        <f>'Kalkulace a Porovnání'!O486</f>
        <v>0</v>
      </c>
      <c r="P486" s="44">
        <f>'Kalkulace a Porovnání'!P486</f>
        <v>0</v>
      </c>
      <c r="Q486" s="30">
        <f>'Kalkulace a Porovnání'!Q486</f>
        <v>0</v>
      </c>
      <c r="T486" s="12" t="s">
        <v>32</v>
      </c>
      <c r="U486" s="13" t="s">
        <v>383</v>
      </c>
      <c r="V486" s="3" t="s">
        <v>10</v>
      </c>
      <c r="W486" s="44">
        <f>'Kalkulace a Porovnání'!W486</f>
        <v>0</v>
      </c>
      <c r="X486" s="44">
        <f>'Kalkulace a Porovnání'!X486</f>
        <v>0</v>
      </c>
      <c r="Y486" s="44">
        <f>'Kalkulace a Porovnání'!Y486</f>
        <v>0</v>
      </c>
      <c r="Z486" s="44">
        <f>'Kalkulace a Porovnání'!Z486</f>
        <v>0</v>
      </c>
      <c r="AA486" s="44">
        <f>'Kalkulace a Porovnání'!AA486</f>
        <v>0</v>
      </c>
      <c r="AB486" s="30">
        <f>'Kalkulace a Porovnání'!AB486</f>
        <v>0</v>
      </c>
      <c r="AC486" s="146"/>
      <c r="AD486" s="428"/>
      <c r="AG486" s="428"/>
      <c r="AH486" s="428"/>
      <c r="AI486" s="252"/>
      <c r="AJ486" s="252"/>
      <c r="AK486" s="428"/>
      <c r="AL486" s="146"/>
    </row>
    <row r="487" spans="2:38" x14ac:dyDescent="0.25">
      <c r="B487" s="12" t="s">
        <v>33</v>
      </c>
      <c r="C487" s="13" t="s">
        <v>382</v>
      </c>
      <c r="D487" s="3" t="s">
        <v>10</v>
      </c>
      <c r="E487" s="44">
        <f>'Kalkulace a Porovnání'!E487</f>
        <v>0</v>
      </c>
      <c r="F487" s="44">
        <f>'Kalkulace a Porovnání'!F487</f>
        <v>0</v>
      </c>
      <c r="G487" s="44">
        <f>'Kalkulace a Porovnání'!G487</f>
        <v>0</v>
      </c>
      <c r="H487" s="30">
        <f>'Kalkulace a Porovnání'!H487</f>
        <v>0</v>
      </c>
      <c r="K487" s="12" t="s">
        <v>33</v>
      </c>
      <c r="L487" s="13" t="s">
        <v>382</v>
      </c>
      <c r="M487" s="3" t="s">
        <v>10</v>
      </c>
      <c r="N487" s="44">
        <f>'Kalkulace a Porovnání'!N487</f>
        <v>0</v>
      </c>
      <c r="O487" s="44">
        <f>'Kalkulace a Porovnání'!O487</f>
        <v>0</v>
      </c>
      <c r="P487" s="44">
        <f>'Kalkulace a Porovnání'!P487</f>
        <v>0</v>
      </c>
      <c r="Q487" s="30">
        <f>'Kalkulace a Porovnání'!Q487</f>
        <v>0</v>
      </c>
      <c r="T487" s="12" t="s">
        <v>33</v>
      </c>
      <c r="U487" s="13" t="s">
        <v>382</v>
      </c>
      <c r="V487" s="3" t="s">
        <v>10</v>
      </c>
      <c r="W487" s="44">
        <f>'Kalkulace a Porovnání'!W487</f>
        <v>0</v>
      </c>
      <c r="X487" s="44">
        <f>'Kalkulace a Porovnání'!X487</f>
        <v>0</v>
      </c>
      <c r="Y487" s="44">
        <f>'Kalkulace a Porovnání'!Y487</f>
        <v>0</v>
      </c>
      <c r="Z487" s="44">
        <f>'Kalkulace a Porovnání'!Z487</f>
        <v>0</v>
      </c>
      <c r="AA487" s="44">
        <f>'Kalkulace a Porovnání'!AA487</f>
        <v>0</v>
      </c>
      <c r="AB487" s="30">
        <f>'Kalkulace a Porovnání'!AB487</f>
        <v>0</v>
      </c>
      <c r="AC487" s="146"/>
      <c r="AD487" s="428"/>
      <c r="AG487" s="252"/>
      <c r="AH487" s="252"/>
      <c r="AI487" s="252"/>
      <c r="AJ487" s="252"/>
      <c r="AK487" s="428"/>
      <c r="AL487" s="146"/>
    </row>
    <row r="488" spans="2:38" x14ac:dyDescent="0.25">
      <c r="B488" s="12" t="s">
        <v>34</v>
      </c>
      <c r="C488" s="21" t="s">
        <v>384</v>
      </c>
      <c r="D488" s="3" t="s">
        <v>10</v>
      </c>
      <c r="E488" s="44">
        <f>'Kalkulace a Porovnání'!E488</f>
        <v>0</v>
      </c>
      <c r="F488" s="44">
        <f>'Kalkulace a Porovnání'!F488</f>
        <v>0</v>
      </c>
      <c r="G488" s="44">
        <f>'Kalkulace a Porovnání'!G488</f>
        <v>0</v>
      </c>
      <c r="H488" s="30">
        <f>'Kalkulace a Porovnání'!H488</f>
        <v>0</v>
      </c>
      <c r="K488" s="12" t="s">
        <v>34</v>
      </c>
      <c r="L488" s="21" t="s">
        <v>384</v>
      </c>
      <c r="M488" s="3" t="s">
        <v>10</v>
      </c>
      <c r="N488" s="44">
        <f>'Kalkulace a Porovnání'!N488</f>
        <v>0</v>
      </c>
      <c r="O488" s="44">
        <f>'Kalkulace a Porovnání'!O488</f>
        <v>0</v>
      </c>
      <c r="P488" s="44">
        <f>'Kalkulace a Porovnání'!P488</f>
        <v>0</v>
      </c>
      <c r="Q488" s="30">
        <f>'Kalkulace a Porovnání'!Q488</f>
        <v>0</v>
      </c>
      <c r="T488" s="12" t="s">
        <v>34</v>
      </c>
      <c r="U488" s="21" t="s">
        <v>384</v>
      </c>
      <c r="V488" s="3" t="s">
        <v>10</v>
      </c>
      <c r="W488" s="44">
        <f>'Kalkulace a Porovnání'!W488</f>
        <v>0</v>
      </c>
      <c r="X488" s="44">
        <f>'Kalkulace a Porovnání'!X488</f>
        <v>0</v>
      </c>
      <c r="Y488" s="44">
        <f>'Kalkulace a Porovnání'!Y488</f>
        <v>0</v>
      </c>
      <c r="Z488" s="44">
        <f>'Kalkulace a Porovnání'!Z488</f>
        <v>0</v>
      </c>
      <c r="AA488" s="44">
        <f>'Kalkulace a Porovnání'!AA488</f>
        <v>0</v>
      </c>
      <c r="AB488" s="30">
        <f>'Kalkulace a Porovnání'!AB488</f>
        <v>0</v>
      </c>
      <c r="AC488" s="146"/>
      <c r="AD488" s="428"/>
      <c r="AG488" s="252"/>
      <c r="AH488" s="252"/>
      <c r="AI488" s="252"/>
      <c r="AJ488" s="252"/>
      <c r="AK488" s="428"/>
      <c r="AL488" s="146"/>
    </row>
    <row r="489" spans="2:38" x14ac:dyDescent="0.25">
      <c r="B489" s="9" t="s">
        <v>35</v>
      </c>
      <c r="C489" s="10" t="s">
        <v>387</v>
      </c>
      <c r="D489" s="11" t="s">
        <v>10</v>
      </c>
      <c r="E489" s="41">
        <f>'Kalkulace a Porovnání'!E489</f>
        <v>0</v>
      </c>
      <c r="F489" s="41">
        <f>'Kalkulace a Porovnání'!F489</f>
        <v>0</v>
      </c>
      <c r="G489" s="41">
        <f>'Kalkulace a Porovnání'!G489</f>
        <v>0</v>
      </c>
      <c r="H489" s="86">
        <f>'Kalkulace a Porovnání'!H489</f>
        <v>0</v>
      </c>
      <c r="K489" s="9" t="s">
        <v>35</v>
      </c>
      <c r="L489" s="10" t="s">
        <v>387</v>
      </c>
      <c r="M489" s="11" t="s">
        <v>10</v>
      </c>
      <c r="N489" s="41">
        <f>'Kalkulace a Porovnání'!N489</f>
        <v>0</v>
      </c>
      <c r="O489" s="41">
        <f>'Kalkulace a Porovnání'!O489</f>
        <v>0</v>
      </c>
      <c r="P489" s="41">
        <f>'Kalkulace a Porovnání'!P489</f>
        <v>0</v>
      </c>
      <c r="Q489" s="86">
        <f>'Kalkulace a Porovnání'!Q489</f>
        <v>0</v>
      </c>
      <c r="T489" s="9" t="s">
        <v>35</v>
      </c>
      <c r="U489" s="10" t="s">
        <v>387</v>
      </c>
      <c r="V489" s="11" t="s">
        <v>10</v>
      </c>
      <c r="W489" s="41">
        <f>'Kalkulace a Porovnání'!W489</f>
        <v>0</v>
      </c>
      <c r="X489" s="41">
        <f>'Kalkulace a Porovnání'!X489</f>
        <v>0</v>
      </c>
      <c r="Y489" s="41">
        <f>'Kalkulace a Porovnání'!Y489</f>
        <v>0</v>
      </c>
      <c r="Z489" s="41">
        <f>'Kalkulace a Porovnání'!Z489</f>
        <v>0</v>
      </c>
      <c r="AA489" s="41">
        <f>'Kalkulace a Porovnání'!AA489</f>
        <v>0</v>
      </c>
      <c r="AB489" s="86">
        <f>'Kalkulace a Porovnání'!AB489</f>
        <v>0</v>
      </c>
      <c r="AC489" s="146"/>
      <c r="AD489" s="428"/>
      <c r="AG489" s="429"/>
      <c r="AH489" s="429"/>
      <c r="AI489" s="252"/>
      <c r="AJ489" s="252"/>
      <c r="AK489" s="428"/>
      <c r="AL489" s="146"/>
    </row>
    <row r="490" spans="2:38" x14ac:dyDescent="0.25">
      <c r="B490" s="12" t="s">
        <v>37</v>
      </c>
      <c r="C490" s="13" t="s">
        <v>38</v>
      </c>
      <c r="D490" s="3" t="s">
        <v>10</v>
      </c>
      <c r="E490" s="44">
        <f>'Kalkulace a Porovnání'!E490</f>
        <v>0</v>
      </c>
      <c r="F490" s="44">
        <f>'Kalkulace a Porovnání'!F490</f>
        <v>0</v>
      </c>
      <c r="G490" s="44">
        <f>'Kalkulace a Porovnání'!G490</f>
        <v>0</v>
      </c>
      <c r="H490" s="30">
        <f>'Kalkulace a Porovnání'!H490</f>
        <v>0</v>
      </c>
      <c r="K490" s="12" t="s">
        <v>37</v>
      </c>
      <c r="L490" s="13" t="s">
        <v>38</v>
      </c>
      <c r="M490" s="3" t="s">
        <v>10</v>
      </c>
      <c r="N490" s="44">
        <f>'Kalkulace a Porovnání'!N490</f>
        <v>0</v>
      </c>
      <c r="O490" s="44">
        <f>'Kalkulace a Porovnání'!O490</f>
        <v>0</v>
      </c>
      <c r="P490" s="44">
        <f>'Kalkulace a Porovnání'!P490</f>
        <v>0</v>
      </c>
      <c r="Q490" s="30">
        <f>'Kalkulace a Porovnání'!Q490</f>
        <v>0</v>
      </c>
      <c r="T490" s="12" t="s">
        <v>37</v>
      </c>
      <c r="U490" s="13" t="s">
        <v>38</v>
      </c>
      <c r="V490" s="3" t="s">
        <v>10</v>
      </c>
      <c r="W490" s="44">
        <f>'Kalkulace a Porovnání'!W490</f>
        <v>0</v>
      </c>
      <c r="X490" s="44">
        <f>'Kalkulace a Porovnání'!X490</f>
        <v>0</v>
      </c>
      <c r="Y490" s="44">
        <f>'Kalkulace a Porovnání'!Y490</f>
        <v>0</v>
      </c>
      <c r="Z490" s="44">
        <f>'Kalkulace a Porovnání'!Z490</f>
        <v>0</v>
      </c>
      <c r="AA490" s="44">
        <f>'Kalkulace a Porovnání'!AA490</f>
        <v>0</v>
      </c>
      <c r="AB490" s="30">
        <f>'Kalkulace a Porovnání'!AB490</f>
        <v>0</v>
      </c>
      <c r="AC490" s="146"/>
      <c r="AD490" s="428"/>
      <c r="AG490" s="1119"/>
      <c r="AH490" s="1119"/>
      <c r="AI490" s="252"/>
      <c r="AJ490" s="252"/>
      <c r="AK490" s="428"/>
      <c r="AL490" s="146"/>
    </row>
    <row r="491" spans="2:38" x14ac:dyDescent="0.25">
      <c r="B491" s="12" t="s">
        <v>39</v>
      </c>
      <c r="C491" s="12" t="s">
        <v>40</v>
      </c>
      <c r="D491" s="3" t="s">
        <v>10</v>
      </c>
      <c r="E491" s="44">
        <f>'Kalkulace a Porovnání'!E491</f>
        <v>0</v>
      </c>
      <c r="F491" s="44">
        <f>'Kalkulace a Porovnání'!F491</f>
        <v>0</v>
      </c>
      <c r="G491" s="44">
        <f>'Kalkulace a Porovnání'!G491</f>
        <v>0</v>
      </c>
      <c r="H491" s="30">
        <f>'Kalkulace a Porovnání'!H491</f>
        <v>0</v>
      </c>
      <c r="K491" s="12" t="s">
        <v>39</v>
      </c>
      <c r="L491" s="12" t="s">
        <v>40</v>
      </c>
      <c r="M491" s="3" t="s">
        <v>10</v>
      </c>
      <c r="N491" s="44">
        <f>'Kalkulace a Porovnání'!N491</f>
        <v>0</v>
      </c>
      <c r="O491" s="44">
        <f>'Kalkulace a Porovnání'!O491</f>
        <v>0</v>
      </c>
      <c r="P491" s="44">
        <f>'Kalkulace a Porovnání'!P491</f>
        <v>0</v>
      </c>
      <c r="Q491" s="30">
        <f>'Kalkulace a Porovnání'!Q491</f>
        <v>0</v>
      </c>
      <c r="T491" s="12" t="s">
        <v>39</v>
      </c>
      <c r="U491" s="12" t="s">
        <v>40</v>
      </c>
      <c r="V491" s="3" t="s">
        <v>10</v>
      </c>
      <c r="W491" s="44">
        <f>'Kalkulace a Porovnání'!W491</f>
        <v>0</v>
      </c>
      <c r="X491" s="44">
        <f>'Kalkulace a Porovnání'!X491</f>
        <v>0</v>
      </c>
      <c r="Y491" s="44">
        <f>'Kalkulace a Porovnání'!Y491</f>
        <v>0</v>
      </c>
      <c r="Z491" s="44">
        <f>'Kalkulace a Porovnání'!Z491</f>
        <v>0</v>
      </c>
      <c r="AA491" s="44">
        <f>'Kalkulace a Porovnání'!AA491</f>
        <v>0</v>
      </c>
      <c r="AB491" s="30">
        <f>'Kalkulace a Porovnání'!AB491</f>
        <v>0</v>
      </c>
      <c r="AC491" s="146"/>
      <c r="AD491" s="428"/>
      <c r="AG491" s="1119"/>
      <c r="AH491" s="1119"/>
      <c r="AI491" s="252"/>
      <c r="AJ491" s="252"/>
      <c r="AK491" s="428"/>
      <c r="AL491" s="146"/>
    </row>
    <row r="492" spans="2:38" x14ac:dyDescent="0.25">
      <c r="B492" s="12" t="s">
        <v>41</v>
      </c>
      <c r="C492" s="13" t="s">
        <v>42</v>
      </c>
      <c r="D492" s="3" t="s">
        <v>10</v>
      </c>
      <c r="E492" s="44">
        <f>'Kalkulace a Porovnání'!E492</f>
        <v>0</v>
      </c>
      <c r="F492" s="44">
        <f>'Kalkulace a Porovnání'!F492</f>
        <v>0</v>
      </c>
      <c r="G492" s="44">
        <f>'Kalkulace a Porovnání'!G492</f>
        <v>0</v>
      </c>
      <c r="H492" s="30">
        <f>'Kalkulace a Porovnání'!H492</f>
        <v>0</v>
      </c>
      <c r="K492" s="12" t="s">
        <v>41</v>
      </c>
      <c r="L492" s="13" t="s">
        <v>42</v>
      </c>
      <c r="M492" s="3" t="s">
        <v>10</v>
      </c>
      <c r="N492" s="44">
        <f>'Kalkulace a Porovnání'!N492</f>
        <v>0</v>
      </c>
      <c r="O492" s="44">
        <f>'Kalkulace a Porovnání'!O492</f>
        <v>0</v>
      </c>
      <c r="P492" s="44">
        <f>'Kalkulace a Porovnání'!P492</f>
        <v>0</v>
      </c>
      <c r="Q492" s="30">
        <f>'Kalkulace a Porovnání'!Q492</f>
        <v>0</v>
      </c>
      <c r="T492" s="12" t="s">
        <v>41</v>
      </c>
      <c r="U492" s="13" t="s">
        <v>42</v>
      </c>
      <c r="V492" s="3" t="s">
        <v>10</v>
      </c>
      <c r="W492" s="44">
        <f>'Kalkulace a Porovnání'!W492</f>
        <v>0</v>
      </c>
      <c r="X492" s="44">
        <f>'Kalkulace a Porovnání'!X492</f>
        <v>0</v>
      </c>
      <c r="Y492" s="44">
        <f>'Kalkulace a Porovnání'!Y492</f>
        <v>0</v>
      </c>
      <c r="Z492" s="44">
        <f>'Kalkulace a Porovnání'!Z492</f>
        <v>0</v>
      </c>
      <c r="AA492" s="44">
        <f>'Kalkulace a Porovnání'!AA492</f>
        <v>0</v>
      </c>
      <c r="AB492" s="30">
        <f>'Kalkulace a Porovnání'!AB492</f>
        <v>0</v>
      </c>
      <c r="AC492" s="146"/>
      <c r="AD492" s="428"/>
      <c r="AG492" s="426"/>
      <c r="AH492" s="426"/>
      <c r="AI492" s="252"/>
      <c r="AJ492" s="252"/>
      <c r="AK492" s="428"/>
      <c r="AL492" s="146"/>
    </row>
    <row r="493" spans="2:38" x14ac:dyDescent="0.25">
      <c r="B493" s="9" t="s">
        <v>43</v>
      </c>
      <c r="C493" s="10" t="s">
        <v>44</v>
      </c>
      <c r="D493" s="11" t="s">
        <v>10</v>
      </c>
      <c r="E493" s="44">
        <f>'Kalkulace a Porovnání'!E493</f>
        <v>0</v>
      </c>
      <c r="F493" s="44">
        <f>'Kalkulace a Porovnání'!F493</f>
        <v>0</v>
      </c>
      <c r="G493" s="44">
        <f>'Kalkulace a Porovnání'!G493</f>
        <v>0</v>
      </c>
      <c r="H493" s="30">
        <f>'Kalkulace a Porovnání'!H493</f>
        <v>0</v>
      </c>
      <c r="K493" s="9" t="s">
        <v>43</v>
      </c>
      <c r="L493" s="10" t="s">
        <v>44</v>
      </c>
      <c r="M493" s="11" t="s">
        <v>10</v>
      </c>
      <c r="N493" s="44">
        <f>'Kalkulace a Porovnání'!N493</f>
        <v>0</v>
      </c>
      <c r="O493" s="44">
        <f>'Kalkulace a Porovnání'!O493</f>
        <v>0</v>
      </c>
      <c r="P493" s="44">
        <f>'Kalkulace a Porovnání'!P493</f>
        <v>0</v>
      </c>
      <c r="Q493" s="30">
        <f>'Kalkulace a Porovnání'!Q493</f>
        <v>0</v>
      </c>
      <c r="T493" s="9" t="s">
        <v>43</v>
      </c>
      <c r="U493" s="10" t="s">
        <v>44</v>
      </c>
      <c r="V493" s="11" t="s">
        <v>10</v>
      </c>
      <c r="W493" s="44">
        <f>'Kalkulace a Porovnání'!W493</f>
        <v>0</v>
      </c>
      <c r="X493" s="44">
        <f>'Kalkulace a Porovnání'!X493</f>
        <v>0</v>
      </c>
      <c r="Y493" s="44">
        <f>'Kalkulace a Porovnání'!Y493</f>
        <v>0</v>
      </c>
      <c r="Z493" s="44">
        <f>'Kalkulace a Porovnání'!Z493</f>
        <v>0</v>
      </c>
      <c r="AA493" s="44">
        <f>'Kalkulace a Porovnání'!AA493</f>
        <v>0</v>
      </c>
      <c r="AB493" s="30">
        <f>'Kalkulace a Porovnání'!AB493</f>
        <v>0</v>
      </c>
      <c r="AC493" s="146"/>
      <c r="AD493" s="428"/>
      <c r="AG493" s="147"/>
      <c r="AH493" s="147"/>
      <c r="AI493" s="252"/>
      <c r="AJ493" s="252"/>
      <c r="AK493" s="428"/>
      <c r="AL493" s="146"/>
    </row>
    <row r="494" spans="2:38" x14ac:dyDescent="0.25">
      <c r="B494" s="9" t="s">
        <v>45</v>
      </c>
      <c r="C494" s="10" t="s">
        <v>388</v>
      </c>
      <c r="D494" s="11" t="s">
        <v>10</v>
      </c>
      <c r="E494" s="44">
        <f>'Kalkulace a Porovnání'!E494</f>
        <v>0</v>
      </c>
      <c r="F494" s="44">
        <f>'Kalkulace a Porovnání'!F494</f>
        <v>0</v>
      </c>
      <c r="G494" s="44">
        <f>'Kalkulace a Porovnání'!G494</f>
        <v>0</v>
      </c>
      <c r="H494" s="30">
        <f>'Kalkulace a Porovnání'!H494</f>
        <v>0</v>
      </c>
      <c r="K494" s="9" t="s">
        <v>45</v>
      </c>
      <c r="L494" s="10" t="s">
        <v>388</v>
      </c>
      <c r="M494" s="11" t="s">
        <v>10</v>
      </c>
      <c r="N494" s="44">
        <f>'Kalkulace a Porovnání'!N494</f>
        <v>0</v>
      </c>
      <c r="O494" s="44">
        <f>'Kalkulace a Porovnání'!O494</f>
        <v>0</v>
      </c>
      <c r="P494" s="44">
        <f>'Kalkulace a Porovnání'!P494</f>
        <v>0</v>
      </c>
      <c r="Q494" s="30">
        <f>'Kalkulace a Porovnání'!Q494</f>
        <v>0</v>
      </c>
      <c r="T494" s="9" t="s">
        <v>45</v>
      </c>
      <c r="U494" s="10" t="s">
        <v>388</v>
      </c>
      <c r="V494" s="11" t="s">
        <v>10</v>
      </c>
      <c r="W494" s="44">
        <f>'Kalkulace a Porovnání'!W494</f>
        <v>0</v>
      </c>
      <c r="X494" s="44">
        <f>'Kalkulace a Porovnání'!X494</f>
        <v>0</v>
      </c>
      <c r="Y494" s="44">
        <f>'Kalkulace a Porovnání'!Y494</f>
        <v>0</v>
      </c>
      <c r="Z494" s="44">
        <f>'Kalkulace a Porovnání'!Z494</f>
        <v>0</v>
      </c>
      <c r="AA494" s="44">
        <f>'Kalkulace a Porovnání'!AA494</f>
        <v>0</v>
      </c>
      <c r="AB494" s="30">
        <f>'Kalkulace a Porovnání'!AB494</f>
        <v>0</v>
      </c>
      <c r="AC494" s="146"/>
      <c r="AD494" s="428"/>
      <c r="AG494" s="147"/>
      <c r="AH494" s="147"/>
      <c r="AI494" s="252"/>
      <c r="AJ494" s="252"/>
      <c r="AK494" s="428"/>
      <c r="AL494" s="146"/>
    </row>
    <row r="495" spans="2:38" x14ac:dyDescent="0.25">
      <c r="B495" s="9" t="s">
        <v>46</v>
      </c>
      <c r="C495" s="10" t="s">
        <v>47</v>
      </c>
      <c r="D495" s="11" t="s">
        <v>10</v>
      </c>
      <c r="E495" s="44">
        <f>'Kalkulace a Porovnání'!E495</f>
        <v>0</v>
      </c>
      <c r="F495" s="44">
        <f>'Kalkulace a Porovnání'!F495</f>
        <v>0</v>
      </c>
      <c r="G495" s="44">
        <f>'Kalkulace a Porovnání'!G495</f>
        <v>0</v>
      </c>
      <c r="H495" s="30">
        <f>'Kalkulace a Porovnání'!H495</f>
        <v>0</v>
      </c>
      <c r="K495" s="9" t="s">
        <v>46</v>
      </c>
      <c r="L495" s="10" t="s">
        <v>47</v>
      </c>
      <c r="M495" s="11" t="s">
        <v>10</v>
      </c>
      <c r="N495" s="44">
        <f>'Kalkulace a Porovnání'!N495</f>
        <v>0</v>
      </c>
      <c r="O495" s="44">
        <f>'Kalkulace a Porovnání'!O495</f>
        <v>0</v>
      </c>
      <c r="P495" s="44">
        <f>'Kalkulace a Porovnání'!P495</f>
        <v>0</v>
      </c>
      <c r="Q495" s="30">
        <f>'Kalkulace a Porovnání'!Q495</f>
        <v>0</v>
      </c>
      <c r="T495" s="9" t="s">
        <v>46</v>
      </c>
      <c r="U495" s="10" t="s">
        <v>47</v>
      </c>
      <c r="V495" s="11" t="s">
        <v>10</v>
      </c>
      <c r="W495" s="44">
        <f>'Kalkulace a Porovnání'!W495</f>
        <v>0</v>
      </c>
      <c r="X495" s="44">
        <f>'Kalkulace a Porovnání'!X495</f>
        <v>0</v>
      </c>
      <c r="Y495" s="44">
        <f>'Kalkulace a Porovnání'!Y495</f>
        <v>0</v>
      </c>
      <c r="Z495" s="44">
        <f>'Kalkulace a Porovnání'!Z495</f>
        <v>0</v>
      </c>
      <c r="AA495" s="44">
        <f>'Kalkulace a Porovnání'!AA495</f>
        <v>0</v>
      </c>
      <c r="AB495" s="30">
        <f>'Kalkulace a Porovnání'!AB495</f>
        <v>0</v>
      </c>
      <c r="AC495" s="146"/>
      <c r="AD495" s="428"/>
      <c r="AG495" s="147"/>
      <c r="AH495" s="147"/>
      <c r="AI495" s="252"/>
      <c r="AJ495" s="252"/>
      <c r="AK495" s="428"/>
      <c r="AL495" s="146"/>
    </row>
    <row r="496" spans="2:38" x14ac:dyDescent="0.25">
      <c r="B496" s="9" t="s">
        <v>48</v>
      </c>
      <c r="C496" s="10" t="s">
        <v>49</v>
      </c>
      <c r="D496" s="11" t="s">
        <v>10</v>
      </c>
      <c r="E496" s="44">
        <f>'Kalkulace a Porovnání'!E496</f>
        <v>0</v>
      </c>
      <c r="F496" s="44">
        <f>'Kalkulace a Porovnání'!F496</f>
        <v>0</v>
      </c>
      <c r="G496" s="44">
        <f>'Kalkulace a Porovnání'!G496</f>
        <v>0</v>
      </c>
      <c r="H496" s="30">
        <f>'Kalkulace a Porovnání'!H496</f>
        <v>0</v>
      </c>
      <c r="K496" s="9" t="s">
        <v>48</v>
      </c>
      <c r="L496" s="10" t="s">
        <v>49</v>
      </c>
      <c r="M496" s="11" t="s">
        <v>10</v>
      </c>
      <c r="N496" s="44">
        <f>'Kalkulace a Porovnání'!N496</f>
        <v>0</v>
      </c>
      <c r="O496" s="44">
        <f>'Kalkulace a Porovnání'!O496</f>
        <v>0</v>
      </c>
      <c r="P496" s="44">
        <f>'Kalkulace a Porovnání'!P496</f>
        <v>0</v>
      </c>
      <c r="Q496" s="30">
        <f>'Kalkulace a Porovnání'!Q496</f>
        <v>0</v>
      </c>
      <c r="T496" s="9" t="s">
        <v>48</v>
      </c>
      <c r="U496" s="10" t="s">
        <v>49</v>
      </c>
      <c r="V496" s="11" t="s">
        <v>10</v>
      </c>
      <c r="W496" s="44">
        <f>'Kalkulace a Porovnání'!W496</f>
        <v>0</v>
      </c>
      <c r="X496" s="44">
        <f>'Kalkulace a Porovnání'!X496</f>
        <v>0</v>
      </c>
      <c r="Y496" s="44">
        <f>'Kalkulace a Porovnání'!Y496</f>
        <v>0</v>
      </c>
      <c r="Z496" s="44">
        <f>'Kalkulace a Porovnání'!Z496</f>
        <v>0</v>
      </c>
      <c r="AA496" s="44">
        <f>'Kalkulace a Porovnání'!AA496</f>
        <v>0</v>
      </c>
      <c r="AB496" s="30">
        <f>'Kalkulace a Porovnání'!AB496</f>
        <v>0</v>
      </c>
      <c r="AC496" s="146"/>
      <c r="AD496" s="428"/>
      <c r="AG496" s="147"/>
      <c r="AH496" s="147"/>
      <c r="AI496" s="252"/>
      <c r="AJ496" s="252"/>
      <c r="AK496" s="428"/>
      <c r="AL496" s="146"/>
    </row>
    <row r="497" spans="2:38" x14ac:dyDescent="0.25">
      <c r="B497" s="12" t="s">
        <v>386</v>
      </c>
      <c r="C497" s="13" t="s">
        <v>385</v>
      </c>
      <c r="D497" s="3" t="s">
        <v>10</v>
      </c>
      <c r="E497" s="44">
        <f>'Kalkulace a Porovnání'!E497</f>
        <v>0</v>
      </c>
      <c r="F497" s="44">
        <f>'Kalkulace a Porovnání'!F497</f>
        <v>0.02</v>
      </c>
      <c r="G497" s="44">
        <f>'Kalkulace a Porovnání'!G497</f>
        <v>0</v>
      </c>
      <c r="H497" s="30">
        <f>'Kalkulace a Porovnání'!H497</f>
        <v>0.02</v>
      </c>
      <c r="K497" s="12" t="s">
        <v>386</v>
      </c>
      <c r="L497" s="13" t="s">
        <v>385</v>
      </c>
      <c r="M497" s="3" t="s">
        <v>10</v>
      </c>
      <c r="N497" s="44">
        <f>'Kalkulace a Porovnání'!N497</f>
        <v>0</v>
      </c>
      <c r="O497" s="44">
        <f>'Kalkulace a Porovnání'!O497</f>
        <v>0</v>
      </c>
      <c r="P497" s="44">
        <f>'Kalkulace a Porovnání'!P497</f>
        <v>0</v>
      </c>
      <c r="Q497" s="30">
        <f>'Kalkulace a Porovnání'!Q497</f>
        <v>0</v>
      </c>
      <c r="T497" s="12" t="s">
        <v>386</v>
      </c>
      <c r="U497" s="13" t="s">
        <v>385</v>
      </c>
      <c r="V497" s="3" t="s">
        <v>10</v>
      </c>
      <c r="W497" s="44">
        <f>'Kalkulace a Porovnání'!W497</f>
        <v>0</v>
      </c>
      <c r="X497" s="44">
        <f>'Kalkulace a Porovnání'!X497</f>
        <v>0</v>
      </c>
      <c r="Y497" s="44">
        <f>'Kalkulace a Porovnání'!Y497</f>
        <v>0</v>
      </c>
      <c r="Z497" s="44">
        <f>'Kalkulace a Porovnání'!Z497</f>
        <v>0</v>
      </c>
      <c r="AA497" s="44">
        <f>'Kalkulace a Porovnání'!AA497</f>
        <v>0</v>
      </c>
      <c r="AB497" s="30">
        <f>'Kalkulace a Porovnání'!AB497</f>
        <v>0</v>
      </c>
      <c r="AC497" s="146"/>
      <c r="AD497" s="428"/>
      <c r="AG497" s="147"/>
      <c r="AH497" s="147"/>
      <c r="AI497" s="252"/>
      <c r="AJ497" s="252"/>
      <c r="AK497" s="428"/>
      <c r="AL497" s="146"/>
    </row>
    <row r="498" spans="2:38" x14ac:dyDescent="0.25">
      <c r="B498" s="9" t="s">
        <v>50</v>
      </c>
      <c r="C498" s="10" t="s">
        <v>391</v>
      </c>
      <c r="D498" s="11" t="s">
        <v>10</v>
      </c>
      <c r="E498" s="41">
        <f>'Kalkulace a Porovnání'!E498</f>
        <v>0</v>
      </c>
      <c r="F498" s="41">
        <f>'Kalkulace a Porovnání'!F498</f>
        <v>0</v>
      </c>
      <c r="G498" s="41">
        <f>'Kalkulace a Porovnání'!G498</f>
        <v>0</v>
      </c>
      <c r="H498" s="86">
        <f>'Kalkulace a Porovnání'!H498</f>
        <v>0</v>
      </c>
      <c r="K498" s="9" t="s">
        <v>50</v>
      </c>
      <c r="L498" s="10" t="s">
        <v>391</v>
      </c>
      <c r="M498" s="11" t="s">
        <v>10</v>
      </c>
      <c r="N498" s="41">
        <f>'Kalkulace a Porovnání'!N498</f>
        <v>0</v>
      </c>
      <c r="O498" s="41">
        <f>'Kalkulace a Porovnání'!O498</f>
        <v>0</v>
      </c>
      <c r="P498" s="41">
        <f>'Kalkulace a Porovnání'!P498</f>
        <v>0</v>
      </c>
      <c r="Q498" s="86">
        <f>'Kalkulace a Porovnání'!Q498</f>
        <v>0</v>
      </c>
      <c r="T498" s="9" t="s">
        <v>50</v>
      </c>
      <c r="U498" s="10" t="s">
        <v>391</v>
      </c>
      <c r="V498" s="11" t="s">
        <v>10</v>
      </c>
      <c r="W498" s="41">
        <f>'Kalkulace a Porovnání'!W498</f>
        <v>0</v>
      </c>
      <c r="X498" s="41">
        <f>'Kalkulace a Porovnání'!X498</f>
        <v>0</v>
      </c>
      <c r="Y498" s="41">
        <f>'Kalkulace a Porovnání'!Y498</f>
        <v>0</v>
      </c>
      <c r="Z498" s="41">
        <f>'Kalkulace a Porovnání'!Z498</f>
        <v>0</v>
      </c>
      <c r="AA498" s="41">
        <f>'Kalkulace a Porovnání'!AA498</f>
        <v>0</v>
      </c>
      <c r="AB498" s="86">
        <f>'Kalkulace a Porovnání'!AB498</f>
        <v>0</v>
      </c>
      <c r="AC498" s="146"/>
      <c r="AD498" s="428"/>
      <c r="AG498" s="147"/>
      <c r="AH498" s="147"/>
      <c r="AI498" s="252"/>
      <c r="AJ498" s="252"/>
      <c r="AK498" s="428"/>
      <c r="AL498" s="146"/>
    </row>
    <row r="499" spans="2:38" x14ac:dyDescent="0.25">
      <c r="B499" s="12" t="s">
        <v>389</v>
      </c>
      <c r="C499" s="13" t="s">
        <v>96</v>
      </c>
      <c r="D499" s="3" t="s">
        <v>10</v>
      </c>
      <c r="E499" s="329">
        <f>'Kalkulace a Porovnání'!E499</f>
        <v>0</v>
      </c>
      <c r="F499" s="329">
        <f>'Kalkulace a Porovnání'!F499</f>
        <v>0</v>
      </c>
      <c r="G499" s="329">
        <f>'Kalkulace a Porovnání'!G499</f>
        <v>0</v>
      </c>
      <c r="H499" s="330">
        <f>'Kalkulace a Porovnání'!H499</f>
        <v>0</v>
      </c>
      <c r="K499" s="12" t="s">
        <v>389</v>
      </c>
      <c r="L499" s="13" t="s">
        <v>96</v>
      </c>
      <c r="M499" s="3" t="s">
        <v>10</v>
      </c>
      <c r="N499" s="329">
        <f>'Kalkulace a Porovnání'!N499</f>
        <v>0</v>
      </c>
      <c r="O499" s="329">
        <f>'Kalkulace a Porovnání'!O499</f>
        <v>0</v>
      </c>
      <c r="P499" s="329">
        <f>'Kalkulace a Porovnání'!P499</f>
        <v>0</v>
      </c>
      <c r="Q499" s="330">
        <f>'Kalkulace a Porovnání'!Q499</f>
        <v>0</v>
      </c>
      <c r="T499" s="12" t="s">
        <v>389</v>
      </c>
      <c r="U499" s="13" t="s">
        <v>96</v>
      </c>
      <c r="V499" s="3" t="s">
        <v>10</v>
      </c>
      <c r="W499" s="329">
        <f>'Kalkulace a Porovnání'!W499</f>
        <v>0</v>
      </c>
      <c r="X499" s="329">
        <f>'Kalkulace a Porovnání'!X499</f>
        <v>0</v>
      </c>
      <c r="Y499" s="329">
        <f>'Kalkulace a Porovnání'!Y499</f>
        <v>0</v>
      </c>
      <c r="Z499" s="329">
        <f>'Kalkulace a Porovnání'!Z499</f>
        <v>0</v>
      </c>
      <c r="AA499" s="329">
        <f>'Kalkulace a Porovnání'!AA499</f>
        <v>0</v>
      </c>
      <c r="AB499" s="330">
        <f>'Kalkulace a Porovnání'!AB499</f>
        <v>0</v>
      </c>
      <c r="AC499" s="146"/>
      <c r="AD499" s="428"/>
      <c r="AG499" s="1120"/>
      <c r="AH499" s="1120"/>
      <c r="AI499" s="252"/>
      <c r="AJ499" s="252"/>
      <c r="AK499" s="428"/>
      <c r="AL499" s="146"/>
    </row>
    <row r="500" spans="2:38" x14ac:dyDescent="0.25">
      <c r="B500" s="12" t="s">
        <v>389</v>
      </c>
      <c r="C500" s="13" t="s">
        <v>97</v>
      </c>
      <c r="D500" s="3" t="s">
        <v>10</v>
      </c>
      <c r="E500" s="329">
        <f>'Kalkulace a Porovnání'!E500</f>
        <v>0</v>
      </c>
      <c r="F500" s="329">
        <f>'Kalkulace a Porovnání'!F500</f>
        <v>0</v>
      </c>
      <c r="G500" s="329">
        <f>'Kalkulace a Porovnání'!G500</f>
        <v>0</v>
      </c>
      <c r="H500" s="330">
        <f>'Kalkulace a Porovnání'!H500</f>
        <v>0</v>
      </c>
      <c r="K500" s="12" t="s">
        <v>389</v>
      </c>
      <c r="L500" s="13" t="s">
        <v>97</v>
      </c>
      <c r="M500" s="3" t="s">
        <v>10</v>
      </c>
      <c r="N500" s="329">
        <f>'Kalkulace a Porovnání'!N500</f>
        <v>0</v>
      </c>
      <c r="O500" s="329">
        <f>'Kalkulace a Porovnání'!O500</f>
        <v>0</v>
      </c>
      <c r="P500" s="329">
        <f>'Kalkulace a Porovnání'!P500</f>
        <v>0</v>
      </c>
      <c r="Q500" s="330">
        <f>'Kalkulace a Porovnání'!Q500</f>
        <v>0</v>
      </c>
      <c r="T500" s="12" t="s">
        <v>389</v>
      </c>
      <c r="U500" s="13" t="s">
        <v>97</v>
      </c>
      <c r="V500" s="3" t="s">
        <v>10</v>
      </c>
      <c r="W500" s="329">
        <f>'Kalkulace a Porovnání'!W500</f>
        <v>0</v>
      </c>
      <c r="X500" s="329">
        <f>'Kalkulace a Porovnání'!X500</f>
        <v>0</v>
      </c>
      <c r="Y500" s="329">
        <f>'Kalkulace a Porovnání'!Y500</f>
        <v>0</v>
      </c>
      <c r="Z500" s="329">
        <f>'Kalkulace a Porovnání'!Z500</f>
        <v>0</v>
      </c>
      <c r="AA500" s="329">
        <f>'Kalkulace a Porovnání'!AA500</f>
        <v>0</v>
      </c>
      <c r="AB500" s="330">
        <f>'Kalkulace a Porovnání'!AB500</f>
        <v>0</v>
      </c>
      <c r="AC500" s="146"/>
      <c r="AD500" s="428"/>
      <c r="AG500" s="1120"/>
      <c r="AH500" s="1120"/>
      <c r="AI500" s="252"/>
      <c r="AJ500" s="252"/>
      <c r="AK500" s="428"/>
      <c r="AL500" s="146"/>
    </row>
    <row r="501" spans="2:38" x14ac:dyDescent="0.25">
      <c r="B501" s="12" t="s">
        <v>51</v>
      </c>
      <c r="C501" s="13" t="s">
        <v>54</v>
      </c>
      <c r="D501" s="3" t="s">
        <v>55</v>
      </c>
      <c r="E501" s="331">
        <f>'Kalkulace a Porovnání'!E501</f>
        <v>0</v>
      </c>
      <c r="F501" s="331">
        <f>'Kalkulace a Porovnání'!F501</f>
        <v>0</v>
      </c>
      <c r="G501" s="331">
        <f>'Kalkulace a Porovnání'!G501</f>
        <v>0</v>
      </c>
      <c r="H501" s="332">
        <f>'Kalkulace a Porovnání'!H501</f>
        <v>0</v>
      </c>
      <c r="K501" s="12" t="s">
        <v>51</v>
      </c>
      <c r="L501" s="13" t="s">
        <v>54</v>
      </c>
      <c r="M501" s="3" t="s">
        <v>55</v>
      </c>
      <c r="N501" s="331">
        <f>'Kalkulace a Porovnání'!N501</f>
        <v>0</v>
      </c>
      <c r="O501" s="331">
        <f>'Kalkulace a Porovnání'!O501</f>
        <v>0</v>
      </c>
      <c r="P501" s="331">
        <f>'Kalkulace a Porovnání'!P501</f>
        <v>0</v>
      </c>
      <c r="Q501" s="332">
        <f>'Kalkulace a Porovnání'!Q501</f>
        <v>0</v>
      </c>
      <c r="T501" s="12" t="s">
        <v>51</v>
      </c>
      <c r="U501" s="13" t="s">
        <v>54</v>
      </c>
      <c r="V501" s="3" t="s">
        <v>55</v>
      </c>
      <c r="W501" s="331">
        <f>'Kalkulace a Porovnání'!W501</f>
        <v>0</v>
      </c>
      <c r="X501" s="331">
        <f>'Kalkulace a Porovnání'!X501</f>
        <v>0</v>
      </c>
      <c r="Y501" s="331">
        <f>'Kalkulace a Porovnání'!Y501</f>
        <v>0</v>
      </c>
      <c r="Z501" s="331">
        <f>'Kalkulace a Porovnání'!Z501</f>
        <v>0</v>
      </c>
      <c r="AA501" s="331">
        <f>'Kalkulace a Porovnání'!AA501</f>
        <v>0</v>
      </c>
      <c r="AB501" s="332">
        <f>'Kalkulace a Porovnání'!AB501</f>
        <v>0</v>
      </c>
      <c r="AC501" s="146"/>
      <c r="AD501" s="428"/>
      <c r="AG501" s="1119"/>
      <c r="AH501" s="1119"/>
      <c r="AI501" s="252"/>
      <c r="AJ501" s="252"/>
      <c r="AK501" s="428"/>
      <c r="AL501" s="146"/>
    </row>
    <row r="502" spans="2:38" x14ac:dyDescent="0.25">
      <c r="B502" s="12" t="s">
        <v>52</v>
      </c>
      <c r="C502" s="13" t="s">
        <v>57</v>
      </c>
      <c r="D502" s="3" t="s">
        <v>58</v>
      </c>
      <c r="E502" s="44">
        <f>'Kalkulace a Porovnání'!E502</f>
        <v>0</v>
      </c>
      <c r="F502" s="44">
        <f>'Kalkulace a Porovnání'!F502</f>
        <v>0</v>
      </c>
      <c r="G502" s="44">
        <f>'Kalkulace a Porovnání'!G502</f>
        <v>0</v>
      </c>
      <c r="H502" s="30">
        <f>'Kalkulace a Porovnání'!H502</f>
        <v>0</v>
      </c>
      <c r="K502" s="12" t="s">
        <v>52</v>
      </c>
      <c r="L502" s="13" t="s">
        <v>57</v>
      </c>
      <c r="M502" s="3" t="s">
        <v>58</v>
      </c>
      <c r="N502" s="44">
        <f>'Kalkulace a Porovnání'!N502</f>
        <v>0</v>
      </c>
      <c r="O502" s="44">
        <f>'Kalkulace a Porovnání'!O502</f>
        <v>0</v>
      </c>
      <c r="P502" s="44">
        <f>'Kalkulace a Porovnání'!P502</f>
        <v>0</v>
      </c>
      <c r="Q502" s="30">
        <f>'Kalkulace a Porovnání'!Q502</f>
        <v>0</v>
      </c>
      <c r="T502" s="12" t="s">
        <v>52</v>
      </c>
      <c r="U502" s="13" t="s">
        <v>57</v>
      </c>
      <c r="V502" s="3" t="s">
        <v>58</v>
      </c>
      <c r="W502" s="44">
        <f>'Kalkulace a Porovnání'!W502</f>
        <v>0</v>
      </c>
      <c r="X502" s="44">
        <f>'Kalkulace a Porovnání'!X502</f>
        <v>0</v>
      </c>
      <c r="Y502" s="44">
        <f>'Kalkulace a Porovnání'!Y502</f>
        <v>0</v>
      </c>
      <c r="Z502" s="44">
        <f>'Kalkulace a Porovnání'!Z502</f>
        <v>0</v>
      </c>
      <c r="AA502" s="44">
        <f>'Kalkulace a Porovnání'!AA502</f>
        <v>0</v>
      </c>
      <c r="AB502" s="30">
        <f>'Kalkulace a Porovnání'!AB502</f>
        <v>0</v>
      </c>
      <c r="AC502" s="146"/>
      <c r="AD502" s="428"/>
      <c r="AG502" s="1119"/>
      <c r="AH502" s="1119"/>
      <c r="AI502" s="252"/>
      <c r="AJ502" s="252"/>
      <c r="AK502" s="428"/>
      <c r="AL502" s="146"/>
    </row>
    <row r="503" spans="2:38" x14ac:dyDescent="0.25">
      <c r="B503" s="12" t="s">
        <v>53</v>
      </c>
      <c r="C503" s="13" t="s">
        <v>60</v>
      </c>
      <c r="D503" s="3" t="s">
        <v>58</v>
      </c>
      <c r="E503" s="44">
        <f>'Kalkulace a Porovnání'!E503</f>
        <v>0</v>
      </c>
      <c r="F503" s="44">
        <f>'Kalkulace a Porovnání'!F503</f>
        <v>0</v>
      </c>
      <c r="G503" s="44">
        <f>'Kalkulace a Porovnání'!G503</f>
        <v>0</v>
      </c>
      <c r="H503" s="30">
        <f>'Kalkulace a Porovnání'!H503</f>
        <v>0</v>
      </c>
      <c r="K503" s="12" t="s">
        <v>53</v>
      </c>
      <c r="L503" s="13" t="s">
        <v>60</v>
      </c>
      <c r="M503" s="3" t="s">
        <v>58</v>
      </c>
      <c r="N503" s="44">
        <f>'Kalkulace a Porovnání'!N503</f>
        <v>0</v>
      </c>
      <c r="O503" s="44">
        <f>'Kalkulace a Porovnání'!O503</f>
        <v>0</v>
      </c>
      <c r="P503" s="44">
        <f>'Kalkulace a Porovnání'!P503</f>
        <v>0</v>
      </c>
      <c r="Q503" s="30">
        <f>'Kalkulace a Porovnání'!Q503</f>
        <v>0</v>
      </c>
      <c r="T503" s="12" t="s">
        <v>53</v>
      </c>
      <c r="U503" s="13" t="s">
        <v>60</v>
      </c>
      <c r="V503" s="3" t="s">
        <v>58</v>
      </c>
      <c r="W503" s="44">
        <f>'Kalkulace a Porovnání'!W503</f>
        <v>0</v>
      </c>
      <c r="X503" s="44">
        <f>'Kalkulace a Porovnání'!X503</f>
        <v>0</v>
      </c>
      <c r="Y503" s="44">
        <f>'Kalkulace a Porovnání'!Y503</f>
        <v>0</v>
      </c>
      <c r="Z503" s="44">
        <f>'Kalkulace a Porovnání'!Z503</f>
        <v>0</v>
      </c>
      <c r="AA503" s="44">
        <f>'Kalkulace a Porovnání'!AA503</f>
        <v>0</v>
      </c>
      <c r="AB503" s="30">
        <f>'Kalkulace a Porovnání'!AB503</f>
        <v>0</v>
      </c>
      <c r="AC503" s="146"/>
      <c r="AD503" s="428"/>
      <c r="AG503" s="147"/>
      <c r="AH503" s="147"/>
      <c r="AI503" s="252"/>
      <c r="AJ503" s="252"/>
      <c r="AK503" s="428"/>
      <c r="AL503" s="146"/>
    </row>
    <row r="504" spans="2:38" x14ac:dyDescent="0.25">
      <c r="B504" s="12" t="s">
        <v>56</v>
      </c>
      <c r="C504" s="13" t="s">
        <v>62</v>
      </c>
      <c r="D504" s="3" t="s">
        <v>58</v>
      </c>
      <c r="E504" s="44">
        <f>'Kalkulace a Porovnání'!E504</f>
        <v>0</v>
      </c>
      <c r="F504" s="44">
        <f>'Kalkulace a Porovnání'!F504</f>
        <v>0</v>
      </c>
      <c r="G504" s="44">
        <f>'Kalkulace a Porovnání'!G504</f>
        <v>0</v>
      </c>
      <c r="H504" s="30">
        <f>'Kalkulace a Porovnání'!H504</f>
        <v>0</v>
      </c>
      <c r="K504" s="12" t="s">
        <v>56</v>
      </c>
      <c r="L504" s="13" t="s">
        <v>62</v>
      </c>
      <c r="M504" s="3" t="s">
        <v>58</v>
      </c>
      <c r="N504" s="44">
        <f>'Kalkulace a Porovnání'!N504</f>
        <v>0</v>
      </c>
      <c r="O504" s="44">
        <f>'Kalkulace a Porovnání'!O504</f>
        <v>0</v>
      </c>
      <c r="P504" s="44">
        <f>'Kalkulace a Porovnání'!P504</f>
        <v>0</v>
      </c>
      <c r="Q504" s="30">
        <f>'Kalkulace a Porovnání'!Q504</f>
        <v>0</v>
      </c>
      <c r="T504" s="12" t="s">
        <v>56</v>
      </c>
      <c r="U504" s="13" t="s">
        <v>62</v>
      </c>
      <c r="V504" s="3" t="s">
        <v>58</v>
      </c>
      <c r="W504" s="44">
        <f>'Kalkulace a Porovnání'!W504</f>
        <v>0</v>
      </c>
      <c r="X504" s="44">
        <f>'Kalkulace a Porovnání'!X504</f>
        <v>0</v>
      </c>
      <c r="Y504" s="44">
        <f>'Kalkulace a Porovnání'!Y504</f>
        <v>0</v>
      </c>
      <c r="Z504" s="44">
        <f>'Kalkulace a Porovnání'!Z504</f>
        <v>0</v>
      </c>
      <c r="AA504" s="44">
        <f>'Kalkulace a Porovnání'!AA504</f>
        <v>0</v>
      </c>
      <c r="AB504" s="30">
        <f>'Kalkulace a Porovnání'!AB504</f>
        <v>0</v>
      </c>
      <c r="AC504" s="146"/>
      <c r="AD504" s="428"/>
      <c r="AG504" s="430"/>
      <c r="AH504" s="430"/>
      <c r="AI504" s="252"/>
      <c r="AJ504" s="252"/>
      <c r="AK504" s="428"/>
      <c r="AL504" s="146"/>
    </row>
    <row r="505" spans="2:38" x14ac:dyDescent="0.25">
      <c r="B505" s="12" t="s">
        <v>59</v>
      </c>
      <c r="C505" s="13" t="s">
        <v>60</v>
      </c>
      <c r="D505" s="3" t="s">
        <v>58</v>
      </c>
      <c r="E505" s="44">
        <f>'Kalkulace a Porovnání'!E505</f>
        <v>0</v>
      </c>
      <c r="F505" s="44">
        <f>'Kalkulace a Porovnání'!F505</f>
        <v>0</v>
      </c>
      <c r="G505" s="44">
        <f>'Kalkulace a Porovnání'!G505</f>
        <v>0</v>
      </c>
      <c r="H505" s="30">
        <f>'Kalkulace a Porovnání'!H505</f>
        <v>0</v>
      </c>
      <c r="K505" s="12" t="s">
        <v>59</v>
      </c>
      <c r="L505" s="13" t="s">
        <v>60</v>
      </c>
      <c r="M505" s="3" t="s">
        <v>58</v>
      </c>
      <c r="N505" s="44">
        <f>'Kalkulace a Porovnání'!N505</f>
        <v>0</v>
      </c>
      <c r="O505" s="44">
        <f>'Kalkulace a Porovnání'!O505</f>
        <v>0</v>
      </c>
      <c r="P505" s="44">
        <f>'Kalkulace a Porovnání'!P505</f>
        <v>0</v>
      </c>
      <c r="Q505" s="30">
        <f>'Kalkulace a Porovnání'!Q505</f>
        <v>0</v>
      </c>
      <c r="T505" s="12" t="s">
        <v>59</v>
      </c>
      <c r="U505" s="13" t="s">
        <v>60</v>
      </c>
      <c r="V505" s="3" t="s">
        <v>58</v>
      </c>
      <c r="W505" s="44">
        <f>'Kalkulace a Porovnání'!W505</f>
        <v>0</v>
      </c>
      <c r="X505" s="44">
        <f>'Kalkulace a Porovnání'!X505</f>
        <v>0</v>
      </c>
      <c r="Y505" s="44">
        <f>'Kalkulace a Porovnání'!Y505</f>
        <v>0</v>
      </c>
      <c r="Z505" s="44">
        <f>'Kalkulace a Porovnání'!Z505</f>
        <v>0</v>
      </c>
      <c r="AA505" s="44">
        <f>'Kalkulace a Porovnání'!AA505</f>
        <v>0</v>
      </c>
      <c r="AB505" s="30">
        <f>'Kalkulace a Porovnání'!AB505</f>
        <v>0</v>
      </c>
      <c r="AC505" s="146"/>
      <c r="AD505" s="428"/>
      <c r="AG505" s="427"/>
      <c r="AH505" s="427"/>
      <c r="AI505" s="252"/>
      <c r="AJ505" s="252"/>
      <c r="AK505" s="428"/>
      <c r="AL505" s="146"/>
    </row>
    <row r="506" spans="2:38" x14ac:dyDescent="0.25">
      <c r="B506" s="12" t="s">
        <v>61</v>
      </c>
      <c r="C506" s="13" t="s">
        <v>65</v>
      </c>
      <c r="D506" s="3" t="s">
        <v>58</v>
      </c>
      <c r="E506" s="44">
        <f>'Kalkulace a Porovnání'!E506</f>
        <v>0</v>
      </c>
      <c r="F506" s="44">
        <f>'Kalkulace a Porovnání'!F506</f>
        <v>0</v>
      </c>
      <c r="G506" s="44">
        <f>'Kalkulace a Porovnání'!G506</f>
        <v>0</v>
      </c>
      <c r="H506" s="30">
        <f>'Kalkulace a Porovnání'!H506</f>
        <v>0</v>
      </c>
      <c r="K506" s="12" t="s">
        <v>61</v>
      </c>
      <c r="L506" s="13" t="s">
        <v>65</v>
      </c>
      <c r="M506" s="3" t="s">
        <v>58</v>
      </c>
      <c r="N506" s="44">
        <f>'Kalkulace a Porovnání'!N506</f>
        <v>0</v>
      </c>
      <c r="O506" s="44">
        <f>'Kalkulace a Porovnání'!O506</f>
        <v>0</v>
      </c>
      <c r="P506" s="44">
        <f>'Kalkulace a Porovnání'!P506</f>
        <v>0</v>
      </c>
      <c r="Q506" s="30">
        <f>'Kalkulace a Porovnání'!Q506</f>
        <v>0</v>
      </c>
      <c r="T506" s="12" t="s">
        <v>61</v>
      </c>
      <c r="U506" s="13" t="s">
        <v>65</v>
      </c>
      <c r="V506" s="3" t="s">
        <v>58</v>
      </c>
      <c r="W506" s="44">
        <f>'Kalkulace a Porovnání'!W506</f>
        <v>0</v>
      </c>
      <c r="X506" s="44">
        <f>'Kalkulace a Porovnání'!X506</f>
        <v>0</v>
      </c>
      <c r="Y506" s="44">
        <f>'Kalkulace a Porovnání'!Y506</f>
        <v>0</v>
      </c>
      <c r="Z506" s="44">
        <f>'Kalkulace a Porovnání'!Z506</f>
        <v>0</v>
      </c>
      <c r="AA506" s="44">
        <f>'Kalkulace a Porovnání'!AA506</f>
        <v>0</v>
      </c>
      <c r="AB506" s="30">
        <f>'Kalkulace a Porovnání'!AB506</f>
        <v>0</v>
      </c>
      <c r="AC506" s="146"/>
      <c r="AD506" s="428"/>
      <c r="AG506" s="147"/>
      <c r="AH506" s="147"/>
      <c r="AI506" s="430"/>
      <c r="AJ506" s="430"/>
      <c r="AK506" s="428"/>
      <c r="AL506" s="146"/>
    </row>
    <row r="507" spans="2:38" x14ac:dyDescent="0.25">
      <c r="B507" s="12" t="s">
        <v>63</v>
      </c>
      <c r="C507" s="13" t="s">
        <v>67</v>
      </c>
      <c r="D507" s="3" t="s">
        <v>58</v>
      </c>
      <c r="E507" s="44">
        <f>'Kalkulace a Porovnání'!E507</f>
        <v>0</v>
      </c>
      <c r="F507" s="44">
        <f>'Kalkulace a Porovnání'!F507</f>
        <v>0</v>
      </c>
      <c r="G507" s="44">
        <f>'Kalkulace a Porovnání'!G507</f>
        <v>0</v>
      </c>
      <c r="H507" s="30">
        <f>'Kalkulace a Porovnání'!H507</f>
        <v>0</v>
      </c>
      <c r="K507" s="12" t="s">
        <v>63</v>
      </c>
      <c r="L507" s="13" t="s">
        <v>67</v>
      </c>
      <c r="M507" s="3" t="s">
        <v>58</v>
      </c>
      <c r="N507" s="44">
        <f>'Kalkulace a Porovnání'!N507</f>
        <v>0</v>
      </c>
      <c r="O507" s="44">
        <f>'Kalkulace a Porovnání'!O507</f>
        <v>0</v>
      </c>
      <c r="P507" s="44">
        <f>'Kalkulace a Porovnání'!P507</f>
        <v>0</v>
      </c>
      <c r="Q507" s="30">
        <f>'Kalkulace a Porovnání'!Q507</f>
        <v>0</v>
      </c>
      <c r="T507" s="12" t="s">
        <v>63</v>
      </c>
      <c r="U507" s="13" t="s">
        <v>67</v>
      </c>
      <c r="V507" s="3" t="s">
        <v>58</v>
      </c>
      <c r="W507" s="44">
        <f>'Kalkulace a Porovnání'!W507</f>
        <v>0</v>
      </c>
      <c r="X507" s="44">
        <f>'Kalkulace a Porovnání'!X507</f>
        <v>0</v>
      </c>
      <c r="Y507" s="44">
        <f>'Kalkulace a Porovnání'!Y507</f>
        <v>0</v>
      </c>
      <c r="Z507" s="44">
        <f>'Kalkulace a Porovnání'!Z507</f>
        <v>0</v>
      </c>
      <c r="AA507" s="44">
        <f>'Kalkulace a Porovnání'!AA507</f>
        <v>0</v>
      </c>
      <c r="AB507" s="30">
        <f>'Kalkulace a Porovnání'!AB507</f>
        <v>0</v>
      </c>
      <c r="AC507" s="146"/>
      <c r="AD507" s="428"/>
      <c r="AG507" s="147"/>
      <c r="AH507" s="147"/>
      <c r="AI507" s="430"/>
      <c r="AJ507" s="430"/>
      <c r="AK507" s="428"/>
      <c r="AL507" s="146"/>
    </row>
    <row r="508" spans="2:38" x14ac:dyDescent="0.25">
      <c r="B508" s="12" t="s">
        <v>64</v>
      </c>
      <c r="C508" s="13" t="s">
        <v>68</v>
      </c>
      <c r="D508" s="3" t="s">
        <v>58</v>
      </c>
      <c r="E508" s="44">
        <f>'Kalkulace a Porovnání'!E508</f>
        <v>0</v>
      </c>
      <c r="F508" s="44">
        <f>'Kalkulace a Porovnání'!F508</f>
        <v>0</v>
      </c>
      <c r="G508" s="44">
        <f>'Kalkulace a Porovnání'!G508</f>
        <v>0</v>
      </c>
      <c r="H508" s="30">
        <f>'Kalkulace a Porovnání'!H508</f>
        <v>0</v>
      </c>
      <c r="K508" s="12" t="s">
        <v>64</v>
      </c>
      <c r="L508" s="13" t="s">
        <v>68</v>
      </c>
      <c r="M508" s="3" t="s">
        <v>58</v>
      </c>
      <c r="N508" s="44">
        <f>'Kalkulace a Porovnání'!N508</f>
        <v>0</v>
      </c>
      <c r="O508" s="44">
        <f>'Kalkulace a Porovnání'!O508</f>
        <v>0</v>
      </c>
      <c r="P508" s="44">
        <f>'Kalkulace a Porovnání'!P508</f>
        <v>0</v>
      </c>
      <c r="Q508" s="30">
        <f>'Kalkulace a Porovnání'!Q508</f>
        <v>0</v>
      </c>
      <c r="T508" s="12" t="s">
        <v>64</v>
      </c>
      <c r="U508" s="13" t="s">
        <v>68</v>
      </c>
      <c r="V508" s="3" t="s">
        <v>58</v>
      </c>
      <c r="W508" s="44">
        <f>'Kalkulace a Porovnání'!W508</f>
        <v>0</v>
      </c>
      <c r="X508" s="44">
        <f>'Kalkulace a Porovnání'!X508</f>
        <v>0</v>
      </c>
      <c r="Y508" s="44">
        <f>'Kalkulace a Porovnání'!Y508</f>
        <v>0</v>
      </c>
      <c r="Z508" s="44">
        <f>'Kalkulace a Porovnání'!Z508</f>
        <v>0</v>
      </c>
      <c r="AA508" s="44">
        <f>'Kalkulace a Porovnání'!AA508</f>
        <v>0</v>
      </c>
      <c r="AB508" s="30">
        <f>'Kalkulace a Porovnání'!AB508</f>
        <v>0</v>
      </c>
      <c r="AC508" s="146"/>
      <c r="AD508" s="428"/>
      <c r="AG508" s="147"/>
      <c r="AH508" s="147"/>
      <c r="AI508" s="430"/>
      <c r="AJ508" s="430"/>
      <c r="AK508" s="428"/>
      <c r="AL508" s="146"/>
    </row>
    <row r="509" spans="2:38" x14ac:dyDescent="0.25">
      <c r="B509" s="12" t="s">
        <v>66</v>
      </c>
      <c r="C509" s="13" t="s">
        <v>69</v>
      </c>
      <c r="D509" s="3" t="s">
        <v>58</v>
      </c>
      <c r="E509" s="44">
        <f>'Kalkulace a Porovnání'!E509</f>
        <v>0</v>
      </c>
      <c r="F509" s="44">
        <f>'Kalkulace a Porovnání'!F509</f>
        <v>0</v>
      </c>
      <c r="G509" s="44">
        <f>'Kalkulace a Porovnání'!G509</f>
        <v>0</v>
      </c>
      <c r="H509" s="30">
        <f>'Kalkulace a Porovnání'!H509</f>
        <v>0</v>
      </c>
      <c r="K509" s="12" t="s">
        <v>66</v>
      </c>
      <c r="L509" s="13" t="s">
        <v>69</v>
      </c>
      <c r="M509" s="3" t="s">
        <v>58</v>
      </c>
      <c r="N509" s="44">
        <f>'Kalkulace a Porovnání'!N509</f>
        <v>0</v>
      </c>
      <c r="O509" s="44">
        <f>'Kalkulace a Porovnání'!O509</f>
        <v>0</v>
      </c>
      <c r="P509" s="44">
        <f>'Kalkulace a Porovnání'!P509</f>
        <v>0</v>
      </c>
      <c r="Q509" s="30">
        <f>'Kalkulace a Porovnání'!Q509</f>
        <v>0</v>
      </c>
      <c r="T509" s="12" t="s">
        <v>66</v>
      </c>
      <c r="U509" s="13" t="s">
        <v>69</v>
      </c>
      <c r="V509" s="3" t="s">
        <v>58</v>
      </c>
      <c r="W509" s="44">
        <f>'Kalkulace a Porovnání'!W509</f>
        <v>0</v>
      </c>
      <c r="X509" s="44">
        <f>'Kalkulace a Porovnání'!X509</f>
        <v>0</v>
      </c>
      <c r="Y509" s="44">
        <f>'Kalkulace a Porovnání'!Y509</f>
        <v>0</v>
      </c>
      <c r="Z509" s="44">
        <f>'Kalkulace a Porovnání'!Z509</f>
        <v>0</v>
      </c>
      <c r="AA509" s="44">
        <f>'Kalkulace a Porovnání'!AA509</f>
        <v>0</v>
      </c>
      <c r="AB509" s="30">
        <f>'Kalkulace a Porovnání'!AB509</f>
        <v>0</v>
      </c>
      <c r="AC509" s="146"/>
      <c r="AD509" s="428"/>
      <c r="AG509" s="314"/>
      <c r="AH509" s="314"/>
      <c r="AI509" s="252"/>
      <c r="AJ509" s="252"/>
      <c r="AK509" s="428"/>
      <c r="AL509" s="146"/>
    </row>
    <row r="510" spans="2:38" x14ac:dyDescent="0.25">
      <c r="B510" s="1"/>
      <c r="C510" s="1"/>
      <c r="D510" s="1"/>
      <c r="E510" s="1"/>
      <c r="F510" s="1"/>
      <c r="G510" s="1"/>
      <c r="H510" s="1"/>
      <c r="K510" s="1"/>
      <c r="L510" s="1"/>
      <c r="M510" s="1"/>
      <c r="N510" s="1"/>
      <c r="O510" s="1"/>
      <c r="P510" s="1"/>
      <c r="Q510" s="1"/>
      <c r="T510" s="1"/>
      <c r="U510" s="1"/>
      <c r="V510" s="1"/>
      <c r="W510" s="1"/>
      <c r="X510" s="1"/>
      <c r="Y510" s="1"/>
      <c r="Z510" s="1"/>
      <c r="AA510" s="1"/>
      <c r="AB510" s="1"/>
      <c r="AC510" s="146"/>
      <c r="AD510" s="428"/>
      <c r="AG510" s="428"/>
      <c r="AH510" s="428"/>
      <c r="AI510" s="428"/>
      <c r="AJ510" s="428"/>
      <c r="AK510" s="428"/>
      <c r="AL510" s="146"/>
    </row>
    <row r="511" spans="2:38" x14ac:dyDescent="0.25">
      <c r="B511" s="1052" t="s">
        <v>5</v>
      </c>
      <c r="C511" s="884" t="s">
        <v>70</v>
      </c>
      <c r="D511" s="868"/>
      <c r="E511" s="1082"/>
      <c r="F511" s="1083"/>
      <c r="G511" s="868"/>
      <c r="H511" s="869"/>
      <c r="K511" s="1052" t="s">
        <v>5</v>
      </c>
      <c r="L511" s="884" t="s">
        <v>70</v>
      </c>
      <c r="M511" s="868"/>
      <c r="N511" s="1082"/>
      <c r="O511" s="1083"/>
      <c r="P511" s="868"/>
      <c r="Q511" s="869"/>
      <c r="T511" s="1098" t="s">
        <v>5</v>
      </c>
      <c r="U511" s="884" t="s">
        <v>70</v>
      </c>
      <c r="V511" s="868"/>
      <c r="W511" s="1082"/>
      <c r="X511" s="1082"/>
      <c r="Y511" s="1083"/>
      <c r="Z511" s="868"/>
      <c r="AA511" s="868"/>
      <c r="AB511" s="869"/>
      <c r="AC511" s="146"/>
      <c r="AD511" s="428"/>
      <c r="AG511" s="428"/>
      <c r="AH511" s="428"/>
      <c r="AI511" s="428"/>
      <c r="AJ511" s="428"/>
      <c r="AK511" s="428"/>
      <c r="AL511" s="146"/>
    </row>
    <row r="512" spans="2:38" x14ac:dyDescent="0.25">
      <c r="B512" s="1053"/>
      <c r="C512" s="1052" t="s">
        <v>71</v>
      </c>
      <c r="D512" s="1065" t="s">
        <v>133</v>
      </c>
      <c r="E512" s="1085" t="s">
        <v>102</v>
      </c>
      <c r="F512" s="1086"/>
      <c r="G512" s="85" t="s">
        <v>3</v>
      </c>
      <c r="H512" s="23" t="s">
        <v>4</v>
      </c>
      <c r="K512" s="1053"/>
      <c r="L512" s="5" t="s">
        <v>71</v>
      </c>
      <c r="M512" s="1065" t="s">
        <v>133</v>
      </c>
      <c r="N512" s="1085" t="s">
        <v>102</v>
      </c>
      <c r="O512" s="1086"/>
      <c r="P512" s="85" t="s">
        <v>3</v>
      </c>
      <c r="Q512" s="23" t="s">
        <v>4</v>
      </c>
      <c r="T512" s="1099"/>
      <c r="U512" s="1052" t="s">
        <v>71</v>
      </c>
      <c r="V512" s="1065" t="s">
        <v>133</v>
      </c>
      <c r="W512" s="1085" t="s">
        <v>102</v>
      </c>
      <c r="X512" s="1086"/>
      <c r="Y512" s="1085" t="s">
        <v>3</v>
      </c>
      <c r="Z512" s="1101"/>
      <c r="AA512" s="1102" t="s">
        <v>4</v>
      </c>
      <c r="AB512" s="1102"/>
      <c r="AC512" s="146"/>
      <c r="AD512" s="428"/>
      <c r="AG512" s="428"/>
      <c r="AH512" s="428"/>
      <c r="AI512" s="428"/>
      <c r="AJ512" s="428"/>
      <c r="AK512" s="428"/>
      <c r="AL512" s="146"/>
    </row>
    <row r="513" spans="2:38" x14ac:dyDescent="0.25">
      <c r="B513" s="1054"/>
      <c r="C513" s="1054"/>
      <c r="D513" s="1084"/>
      <c r="E513" s="1087"/>
      <c r="F513" s="1088"/>
      <c r="G513" s="26" t="s">
        <v>7</v>
      </c>
      <c r="H513" s="24" t="s">
        <v>7</v>
      </c>
      <c r="K513" s="1054"/>
      <c r="L513" s="8"/>
      <c r="M513" s="1084"/>
      <c r="N513" s="1087"/>
      <c r="O513" s="1088"/>
      <c r="P513" s="26" t="s">
        <v>7</v>
      </c>
      <c r="Q513" s="24" t="s">
        <v>7</v>
      </c>
      <c r="T513" s="1100"/>
      <c r="U513" s="1054"/>
      <c r="V513" s="1084"/>
      <c r="W513" s="1087"/>
      <c r="X513" s="1088"/>
      <c r="Y513" s="37" t="s">
        <v>148</v>
      </c>
      <c r="Z513" s="37" t="s">
        <v>7</v>
      </c>
      <c r="AA513" s="37" t="s">
        <v>148</v>
      </c>
      <c r="AB513" s="37" t="s">
        <v>7</v>
      </c>
      <c r="AC513" s="146"/>
      <c r="AD513" s="428"/>
      <c r="AG513" s="428"/>
      <c r="AH513" s="428"/>
      <c r="AI513" s="428"/>
      <c r="AJ513" s="428"/>
      <c r="AK513" s="428"/>
      <c r="AL513" s="146"/>
    </row>
    <row r="514" spans="2:38" x14ac:dyDescent="0.25">
      <c r="B514" s="11">
        <v>1</v>
      </c>
      <c r="C514" s="11">
        <v>2</v>
      </c>
      <c r="D514" s="11" t="s">
        <v>95</v>
      </c>
      <c r="E514" s="873" t="s">
        <v>99</v>
      </c>
      <c r="F514" s="874"/>
      <c r="G514" s="11" t="s">
        <v>100</v>
      </c>
      <c r="H514" s="22" t="s">
        <v>101</v>
      </c>
      <c r="K514" s="11">
        <v>1</v>
      </c>
      <c r="L514" s="11">
        <v>2</v>
      </c>
      <c r="M514" s="11" t="s">
        <v>95</v>
      </c>
      <c r="N514" s="873" t="s">
        <v>99</v>
      </c>
      <c r="O514" s="874"/>
      <c r="P514" s="11" t="s">
        <v>100</v>
      </c>
      <c r="Q514" s="22" t="s">
        <v>101</v>
      </c>
      <c r="T514" s="11">
        <v>1</v>
      </c>
      <c r="U514" s="11">
        <v>2</v>
      </c>
      <c r="V514" s="11" t="s">
        <v>95</v>
      </c>
      <c r="W514" s="1096" t="s">
        <v>99</v>
      </c>
      <c r="X514" s="1097"/>
      <c r="Y514" s="11" t="s">
        <v>153</v>
      </c>
      <c r="Z514" s="11" t="s">
        <v>100</v>
      </c>
      <c r="AA514" s="11" t="s">
        <v>152</v>
      </c>
      <c r="AB514" s="22" t="s">
        <v>101</v>
      </c>
      <c r="AC514" s="146"/>
      <c r="AD514" s="428"/>
      <c r="AG514" s="428"/>
      <c r="AH514" s="428"/>
      <c r="AI514" s="428"/>
      <c r="AJ514" s="428"/>
      <c r="AK514" s="428"/>
      <c r="AL514" s="146"/>
    </row>
    <row r="515" spans="2:38" x14ac:dyDescent="0.25">
      <c r="B515" s="12" t="s">
        <v>72</v>
      </c>
      <c r="C515" s="13" t="s">
        <v>104</v>
      </c>
      <c r="D515" s="13" t="s">
        <v>73</v>
      </c>
      <c r="E515" s="875" t="s">
        <v>403</v>
      </c>
      <c r="F515" s="859"/>
      <c r="G515" s="138">
        <f>'Kalkulace a Porovnání'!G515</f>
        <v>0</v>
      </c>
      <c r="H515" s="138">
        <f>'Kalkulace a Porovnání'!H515</f>
        <v>0</v>
      </c>
      <c r="K515" s="12" t="s">
        <v>72</v>
      </c>
      <c r="L515" s="13" t="s">
        <v>104</v>
      </c>
      <c r="M515" s="13" t="s">
        <v>73</v>
      </c>
      <c r="N515" s="875" t="s">
        <v>403</v>
      </c>
      <c r="O515" s="859"/>
      <c r="P515" s="138">
        <f>'Kalkulace a Porovnání'!P515</f>
        <v>0</v>
      </c>
      <c r="Q515" s="138">
        <f>'Kalkulace a Porovnání'!Q515</f>
        <v>0</v>
      </c>
      <c r="T515" s="12" t="s">
        <v>72</v>
      </c>
      <c r="U515" s="13" t="s">
        <v>104</v>
      </c>
      <c r="V515" s="13" t="s">
        <v>73</v>
      </c>
      <c r="W515" s="875" t="s">
        <v>403</v>
      </c>
      <c r="X515" s="859"/>
      <c r="Y515" s="138">
        <f>'Kalkulace a Porovnání'!Y515</f>
        <v>0</v>
      </c>
      <c r="Z515" s="138">
        <f>'Kalkulace a Porovnání'!Z515</f>
        <v>0</v>
      </c>
      <c r="AA515" s="138">
        <f>'Kalkulace a Porovnání'!AA515</f>
        <v>0</v>
      </c>
      <c r="AB515" s="138">
        <f>'Kalkulace a Porovnání'!AB515</f>
        <v>0</v>
      </c>
      <c r="AC515" s="146"/>
      <c r="AD515" s="428"/>
      <c r="AG515" s="428"/>
      <c r="AH515" s="428"/>
      <c r="AI515" s="428"/>
      <c r="AJ515" s="428"/>
      <c r="AK515" s="428"/>
      <c r="AL515" s="146"/>
    </row>
    <row r="516" spans="2:38" x14ac:dyDescent="0.25">
      <c r="B516" s="12" t="s">
        <v>74</v>
      </c>
      <c r="C516" s="13" t="s">
        <v>358</v>
      </c>
      <c r="D516" s="13" t="s">
        <v>10</v>
      </c>
      <c r="E516" s="858" t="s">
        <v>404</v>
      </c>
      <c r="F516" s="870"/>
      <c r="G516" s="138">
        <f>G517+G518</f>
        <v>0</v>
      </c>
      <c r="H516" s="138">
        <f>H517+H518</f>
        <v>0</v>
      </c>
      <c r="K516" s="12" t="s">
        <v>74</v>
      </c>
      <c r="L516" s="13" t="s">
        <v>358</v>
      </c>
      <c r="M516" s="13" t="s">
        <v>10</v>
      </c>
      <c r="N516" s="858" t="s">
        <v>404</v>
      </c>
      <c r="O516" s="870"/>
      <c r="P516" s="138">
        <f>P517+P518</f>
        <v>0</v>
      </c>
      <c r="Q516" s="138">
        <f>Q517+Q518</f>
        <v>0</v>
      </c>
      <c r="T516" s="12" t="s">
        <v>74</v>
      </c>
      <c r="U516" s="13" t="s">
        <v>358</v>
      </c>
      <c r="V516" s="13" t="s">
        <v>10</v>
      </c>
      <c r="W516" s="858" t="s">
        <v>404</v>
      </c>
      <c r="X516" s="870"/>
      <c r="Y516" s="138">
        <f t="shared" ref="Y516:AB516" si="6">Y517+Y518</f>
        <v>0</v>
      </c>
      <c r="Z516" s="138">
        <f t="shared" si="6"/>
        <v>0</v>
      </c>
      <c r="AA516" s="138">
        <f t="shared" si="6"/>
        <v>0</v>
      </c>
      <c r="AB516" s="138">
        <f t="shared" si="6"/>
        <v>0</v>
      </c>
      <c r="AC516" s="146"/>
      <c r="AD516" s="428"/>
      <c r="AG516" s="428"/>
      <c r="AH516" s="428"/>
      <c r="AI516" s="428"/>
      <c r="AJ516" s="428"/>
      <c r="AK516" s="428"/>
      <c r="AL516" s="146"/>
    </row>
    <row r="517" spans="2:38" x14ac:dyDescent="0.25">
      <c r="B517" s="12" t="s">
        <v>352</v>
      </c>
      <c r="C517" s="13" t="s">
        <v>359</v>
      </c>
      <c r="D517" s="13" t="s">
        <v>10</v>
      </c>
      <c r="E517" s="871"/>
      <c r="F517" s="872"/>
      <c r="G517" s="138">
        <f>'Kalkulace a Porovnání'!G517</f>
        <v>0</v>
      </c>
      <c r="H517" s="138">
        <f>'Kalkulace a Porovnání'!H517</f>
        <v>0</v>
      </c>
      <c r="K517" s="12" t="s">
        <v>352</v>
      </c>
      <c r="L517" s="13" t="s">
        <v>359</v>
      </c>
      <c r="M517" s="13" t="s">
        <v>10</v>
      </c>
      <c r="N517" s="871"/>
      <c r="O517" s="872"/>
      <c r="P517" s="138">
        <f>'Kalkulace a Porovnání'!P517</f>
        <v>0</v>
      </c>
      <c r="Q517" s="138">
        <f>'Kalkulace a Porovnání'!Q517</f>
        <v>0</v>
      </c>
      <c r="T517" s="12" t="s">
        <v>352</v>
      </c>
      <c r="U517" s="13" t="s">
        <v>359</v>
      </c>
      <c r="V517" s="13" t="s">
        <v>10</v>
      </c>
      <c r="W517" s="871"/>
      <c r="X517" s="872"/>
      <c r="Y517" s="138">
        <f>'Kalkulace a Porovnání'!Y517</f>
        <v>0</v>
      </c>
      <c r="Z517" s="138">
        <f>'Kalkulace a Porovnání'!Z517</f>
        <v>0</v>
      </c>
      <c r="AA517" s="138">
        <f>'Kalkulace a Porovnání'!AA517</f>
        <v>0</v>
      </c>
      <c r="AB517" s="138">
        <f>'Kalkulace a Porovnání'!AB517</f>
        <v>0</v>
      </c>
      <c r="AC517" s="146"/>
      <c r="AD517" s="428"/>
      <c r="AG517" s="428"/>
      <c r="AH517" s="428"/>
      <c r="AI517" s="428"/>
      <c r="AJ517" s="428"/>
      <c r="AK517" s="428"/>
      <c r="AL517" s="146"/>
    </row>
    <row r="518" spans="2:38" x14ac:dyDescent="0.25">
      <c r="B518" s="12" t="s">
        <v>361</v>
      </c>
      <c r="C518" s="13" t="s">
        <v>360</v>
      </c>
      <c r="D518" s="13" t="s">
        <v>10</v>
      </c>
      <c r="E518" s="884"/>
      <c r="F518" s="869"/>
      <c r="G518" s="138">
        <f>'Kalkulace a Porovnání'!G518</f>
        <v>0</v>
      </c>
      <c r="H518" s="138">
        <f>'Kalkulace a Porovnání'!H518</f>
        <v>0</v>
      </c>
      <c r="K518" s="12" t="s">
        <v>361</v>
      </c>
      <c r="L518" s="13" t="s">
        <v>360</v>
      </c>
      <c r="M518" s="13" t="s">
        <v>10</v>
      </c>
      <c r="N518" s="884"/>
      <c r="O518" s="869"/>
      <c r="P518" s="138">
        <f>'Kalkulace a Porovnání'!P518</f>
        <v>0</v>
      </c>
      <c r="Q518" s="138">
        <f>'Kalkulace a Porovnání'!Q518</f>
        <v>0</v>
      </c>
      <c r="T518" s="12" t="s">
        <v>361</v>
      </c>
      <c r="U518" s="13" t="s">
        <v>360</v>
      </c>
      <c r="V518" s="13" t="s">
        <v>10</v>
      </c>
      <c r="W518" s="884"/>
      <c r="X518" s="869"/>
      <c r="Y518" s="138">
        <f>'Kalkulace a Porovnání'!Y518</f>
        <v>0</v>
      </c>
      <c r="Z518" s="138">
        <f>'Kalkulace a Porovnání'!Z518</f>
        <v>0</v>
      </c>
      <c r="AA518" s="138">
        <f>'Kalkulace a Porovnání'!AA518</f>
        <v>0</v>
      </c>
      <c r="AB518" s="138">
        <f>'Kalkulace a Porovnání'!AB518</f>
        <v>0</v>
      </c>
      <c r="AC518" s="146"/>
      <c r="AD518" s="428"/>
      <c r="AG518" s="428"/>
      <c r="AH518" s="428"/>
      <c r="AI518" s="428"/>
      <c r="AJ518" s="428"/>
      <c r="AK518" s="428"/>
      <c r="AL518" s="146"/>
    </row>
    <row r="519" spans="2:38" x14ac:dyDescent="0.25">
      <c r="B519" s="12" t="s">
        <v>75</v>
      </c>
      <c r="C519" s="13" t="s">
        <v>396</v>
      </c>
      <c r="D519" s="13" t="s">
        <v>10</v>
      </c>
      <c r="E519" s="858" t="s">
        <v>405</v>
      </c>
      <c r="F519" s="859"/>
      <c r="G519" s="341">
        <f>'Kalkulace a Porovnání'!G519</f>
        <v>0</v>
      </c>
      <c r="H519" s="341">
        <f>'Kalkulace a Porovnání'!H519</f>
        <v>0</v>
      </c>
      <c r="K519" s="12" t="s">
        <v>75</v>
      </c>
      <c r="L519" s="13" t="s">
        <v>396</v>
      </c>
      <c r="M519" s="13" t="s">
        <v>10</v>
      </c>
      <c r="N519" s="858" t="s">
        <v>405</v>
      </c>
      <c r="O519" s="859"/>
      <c r="P519" s="341">
        <f>'Kalkulace a Porovnání'!P519</f>
        <v>0</v>
      </c>
      <c r="Q519" s="341">
        <f>'Kalkulace a Porovnání'!Q519</f>
        <v>0</v>
      </c>
      <c r="T519" s="12" t="s">
        <v>75</v>
      </c>
      <c r="U519" s="13" t="s">
        <v>396</v>
      </c>
      <c r="V519" s="13" t="s">
        <v>10</v>
      </c>
      <c r="W519" s="858" t="s">
        <v>405</v>
      </c>
      <c r="X519" s="859"/>
      <c r="Y519" s="341">
        <f>'Kalkulace a Porovnání'!Y519</f>
        <v>0</v>
      </c>
      <c r="Z519" s="341">
        <f>'Kalkulace a Porovnání'!Z519</f>
        <v>0</v>
      </c>
      <c r="AA519" s="341">
        <f>'Kalkulace a Porovnání'!AA519</f>
        <v>0</v>
      </c>
      <c r="AB519" s="341">
        <f>'Kalkulace a Porovnání'!AB519</f>
        <v>0</v>
      </c>
      <c r="AC519" s="146"/>
      <c r="AD519" s="428"/>
      <c r="AG519" s="428"/>
      <c r="AH519" s="428"/>
      <c r="AI519" s="428"/>
      <c r="AJ519" s="428"/>
      <c r="AK519" s="428"/>
      <c r="AL519" s="146"/>
    </row>
    <row r="520" spans="2:38" x14ac:dyDescent="0.25">
      <c r="B520" s="12" t="s">
        <v>76</v>
      </c>
      <c r="C520" s="13" t="s">
        <v>373</v>
      </c>
      <c r="D520" s="13" t="s">
        <v>10</v>
      </c>
      <c r="E520" s="858"/>
      <c r="F520" s="859"/>
      <c r="G520" s="341">
        <f>'Kalkulace a Porovnání'!G520</f>
        <v>0</v>
      </c>
      <c r="H520" s="341">
        <f>'Kalkulace a Porovnání'!H520</f>
        <v>0</v>
      </c>
      <c r="K520" s="12" t="s">
        <v>76</v>
      </c>
      <c r="L520" s="13" t="s">
        <v>373</v>
      </c>
      <c r="M520" s="13" t="s">
        <v>10</v>
      </c>
      <c r="N520" s="858"/>
      <c r="O520" s="859"/>
      <c r="P520" s="341">
        <f>'Kalkulace a Porovnání'!P520</f>
        <v>0</v>
      </c>
      <c r="Q520" s="341">
        <f>'Kalkulace a Porovnání'!Q520</f>
        <v>0</v>
      </c>
      <c r="T520" s="12" t="s">
        <v>76</v>
      </c>
      <c r="U520" s="13" t="s">
        <v>373</v>
      </c>
      <c r="V520" s="13" t="s">
        <v>10</v>
      </c>
      <c r="W520" s="858"/>
      <c r="X520" s="859"/>
      <c r="Y520" s="341">
        <f>'Kalkulace a Porovnání'!Y520</f>
        <v>2.3999896640999999E-2</v>
      </c>
      <c r="Z520" s="341">
        <f>'Kalkulace a Porovnání'!Z520</f>
        <v>0</v>
      </c>
      <c r="AA520" s="341">
        <f>'Kalkulace a Porovnání'!AA520</f>
        <v>0.100000278</v>
      </c>
      <c r="AB520" s="341">
        <f>'Kalkulace a Porovnání'!AB520</f>
        <v>0</v>
      </c>
      <c r="AC520" s="146"/>
      <c r="AD520" s="428"/>
      <c r="AG520" s="428"/>
      <c r="AH520" s="428"/>
      <c r="AI520" s="428"/>
      <c r="AJ520" s="428"/>
      <c r="AK520" s="428"/>
      <c r="AL520" s="146"/>
    </row>
    <row r="521" spans="2:38" x14ac:dyDescent="0.25">
      <c r="B521" s="12" t="s">
        <v>78</v>
      </c>
      <c r="C521" s="21" t="s">
        <v>402</v>
      </c>
      <c r="D521" s="13" t="s">
        <v>77</v>
      </c>
      <c r="E521" s="875" t="s">
        <v>406</v>
      </c>
      <c r="F521" s="859"/>
      <c r="G521" s="138">
        <f>'Kalkulace a Porovnání'!G521</f>
        <v>0</v>
      </c>
      <c r="H521" s="138">
        <f>'Kalkulace a Porovnání'!H521</f>
        <v>0</v>
      </c>
      <c r="K521" s="12" t="s">
        <v>78</v>
      </c>
      <c r="L521" s="21" t="s">
        <v>402</v>
      </c>
      <c r="M521" s="13" t="s">
        <v>77</v>
      </c>
      <c r="N521" s="875" t="s">
        <v>406</v>
      </c>
      <c r="O521" s="859"/>
      <c r="P521" s="138">
        <f>'Kalkulace a Porovnání'!P521</f>
        <v>0</v>
      </c>
      <c r="Q521" s="138">
        <f>'Kalkulace a Porovnání'!Q521</f>
        <v>0</v>
      </c>
      <c r="T521" s="12" t="s">
        <v>78</v>
      </c>
      <c r="U521" s="21" t="s">
        <v>402</v>
      </c>
      <c r="V521" s="13" t="s">
        <v>77</v>
      </c>
      <c r="W521" s="875" t="s">
        <v>406</v>
      </c>
      <c r="X521" s="859"/>
      <c r="Y521" s="138">
        <f>'Kalkulace a Porovnání'!Y521</f>
        <v>0</v>
      </c>
      <c r="Z521" s="138">
        <f>'Kalkulace a Porovnání'!Z521</f>
        <v>0</v>
      </c>
      <c r="AA521" s="138">
        <f>'Kalkulace a Porovnání'!AA521</f>
        <v>0</v>
      </c>
      <c r="AB521" s="138">
        <f>'Kalkulace a Porovnání'!AB521</f>
        <v>0</v>
      </c>
      <c r="AC521" s="146"/>
      <c r="AD521" s="428"/>
      <c r="AG521" s="428"/>
      <c r="AH521" s="428"/>
      <c r="AI521" s="428"/>
      <c r="AJ521" s="428"/>
      <c r="AK521" s="428"/>
      <c r="AL521" s="146"/>
    </row>
    <row r="522" spans="2:38" x14ac:dyDescent="0.25">
      <c r="B522" s="12" t="s">
        <v>79</v>
      </c>
      <c r="C522" s="21" t="s">
        <v>408</v>
      </c>
      <c r="D522" s="13" t="s">
        <v>10</v>
      </c>
      <c r="E522" s="858" t="s">
        <v>407</v>
      </c>
      <c r="F522" s="859"/>
      <c r="G522" s="341">
        <f>'Kalkulace a Porovnání'!G522</f>
        <v>0</v>
      </c>
      <c r="H522" s="341">
        <f>'Kalkulace a Porovnání'!H522</f>
        <v>0</v>
      </c>
      <c r="K522" s="12" t="s">
        <v>79</v>
      </c>
      <c r="L522" s="21" t="s">
        <v>408</v>
      </c>
      <c r="M522" s="13" t="s">
        <v>10</v>
      </c>
      <c r="N522" s="858" t="s">
        <v>407</v>
      </c>
      <c r="O522" s="859"/>
      <c r="P522" s="341">
        <f>'Kalkulace a Porovnání'!P522</f>
        <v>0</v>
      </c>
      <c r="Q522" s="341">
        <f>'Kalkulace a Porovnání'!Q522</f>
        <v>0</v>
      </c>
      <c r="T522" s="12" t="s">
        <v>79</v>
      </c>
      <c r="U522" s="21" t="s">
        <v>408</v>
      </c>
      <c r="V522" s="13" t="s">
        <v>10</v>
      </c>
      <c r="W522" s="858" t="s">
        <v>407</v>
      </c>
      <c r="X522" s="859"/>
      <c r="Y522" s="341">
        <f>'Kalkulace a Porovnání'!Y522</f>
        <v>0</v>
      </c>
      <c r="Z522" s="341">
        <f>'Kalkulace a Porovnání'!Z522</f>
        <v>0</v>
      </c>
      <c r="AA522" s="341">
        <f>'Kalkulace a Porovnání'!AA522</f>
        <v>0</v>
      </c>
      <c r="AB522" s="341">
        <f>'Kalkulace a Porovnání'!AB522</f>
        <v>0</v>
      </c>
      <c r="AC522" s="146"/>
      <c r="AD522" s="428"/>
      <c r="AG522" s="428"/>
      <c r="AH522" s="428"/>
      <c r="AI522" s="428"/>
      <c r="AJ522" s="428"/>
      <c r="AK522" s="428"/>
      <c r="AL522" s="146"/>
    </row>
    <row r="523" spans="2:38" x14ac:dyDescent="0.25">
      <c r="B523" s="12" t="s">
        <v>80</v>
      </c>
      <c r="C523" s="21" t="s">
        <v>354</v>
      </c>
      <c r="D523" s="13" t="s">
        <v>10</v>
      </c>
      <c r="E523" s="858" t="s">
        <v>409</v>
      </c>
      <c r="F523" s="870"/>
      <c r="G523" s="341">
        <f>'Kalkulace a Porovnání'!G523</f>
        <v>0</v>
      </c>
      <c r="H523" s="341">
        <f>'Kalkulace a Porovnání'!H523</f>
        <v>0</v>
      </c>
      <c r="K523" s="12" t="s">
        <v>80</v>
      </c>
      <c r="L523" s="21" t="s">
        <v>354</v>
      </c>
      <c r="M523" s="13" t="s">
        <v>10</v>
      </c>
      <c r="N523" s="858" t="s">
        <v>409</v>
      </c>
      <c r="O523" s="870"/>
      <c r="P523" s="341">
        <f>'Kalkulace a Porovnání'!P523</f>
        <v>0</v>
      </c>
      <c r="Q523" s="341">
        <f>'Kalkulace a Porovnání'!Q523</f>
        <v>0</v>
      </c>
      <c r="T523" s="12" t="s">
        <v>80</v>
      </c>
      <c r="U523" s="21" t="s">
        <v>354</v>
      </c>
      <c r="V523" s="13" t="s">
        <v>10</v>
      </c>
      <c r="W523" s="858" t="s">
        <v>409</v>
      </c>
      <c r="X523" s="870"/>
      <c r="Y523" s="341">
        <f>'Kalkulace a Porovnání'!Y523</f>
        <v>2.3999896640999999E-2</v>
      </c>
      <c r="Z523" s="341">
        <f>'Kalkulace a Porovnání'!Z523</f>
        <v>0</v>
      </c>
      <c r="AA523" s="341">
        <f>'Kalkulace a Porovnání'!AA523</f>
        <v>0.100000278</v>
      </c>
      <c r="AB523" s="341">
        <f>'Kalkulace a Porovnání'!AB523</f>
        <v>0</v>
      </c>
      <c r="AC523" s="146"/>
      <c r="AD523" s="428"/>
      <c r="AG523" s="428"/>
      <c r="AH523" s="428"/>
      <c r="AI523" s="428"/>
      <c r="AJ523" s="428"/>
      <c r="AK523" s="428"/>
      <c r="AL523" s="146"/>
    </row>
    <row r="524" spans="2:38" x14ac:dyDescent="0.25">
      <c r="B524" s="12" t="s">
        <v>82</v>
      </c>
      <c r="C524" s="13" t="s">
        <v>395</v>
      </c>
      <c r="D524" s="13" t="s">
        <v>10</v>
      </c>
      <c r="E524" s="858" t="s">
        <v>410</v>
      </c>
      <c r="F524" s="859"/>
      <c r="G524" s="341">
        <f>'Kalkulace a Porovnání'!G524</f>
        <v>0</v>
      </c>
      <c r="H524" s="341">
        <f>'Kalkulace a Porovnání'!H524</f>
        <v>0</v>
      </c>
      <c r="K524" s="12" t="s">
        <v>82</v>
      </c>
      <c r="L524" s="13" t="s">
        <v>395</v>
      </c>
      <c r="M524" s="13" t="s">
        <v>10</v>
      </c>
      <c r="N524" s="858" t="s">
        <v>410</v>
      </c>
      <c r="O524" s="859"/>
      <c r="P524" s="341">
        <f>'Kalkulace a Porovnání'!P524</f>
        <v>0</v>
      </c>
      <c r="Q524" s="341">
        <f>'Kalkulace a Porovnání'!Q524</f>
        <v>0</v>
      </c>
      <c r="T524" s="12" t="s">
        <v>82</v>
      </c>
      <c r="U524" s="13" t="s">
        <v>395</v>
      </c>
      <c r="V524" s="13" t="s">
        <v>10</v>
      </c>
      <c r="W524" s="858" t="s">
        <v>410</v>
      </c>
      <c r="X524" s="859"/>
      <c r="Y524" s="341">
        <f>'Kalkulace a Porovnání'!Y524</f>
        <v>2.3999896640999999E-2</v>
      </c>
      <c r="Z524" s="341">
        <f>'Kalkulace a Porovnání'!Z524</f>
        <v>0</v>
      </c>
      <c r="AA524" s="341">
        <f>'Kalkulace a Porovnání'!AA524</f>
        <v>0.100000278</v>
      </c>
      <c r="AB524" s="341">
        <f>'Kalkulace a Porovnání'!AB524</f>
        <v>0</v>
      </c>
      <c r="AC524" s="146"/>
      <c r="AD524" s="428"/>
      <c r="AG524" s="428"/>
      <c r="AH524" s="428"/>
      <c r="AI524" s="428"/>
      <c r="AJ524" s="428"/>
      <c r="AK524" s="428"/>
      <c r="AL524" s="146"/>
    </row>
    <row r="525" spans="2:38" x14ac:dyDescent="0.25">
      <c r="B525" s="12" t="s">
        <v>83</v>
      </c>
      <c r="C525" s="13" t="s">
        <v>81</v>
      </c>
      <c r="D525" s="13" t="s">
        <v>58</v>
      </c>
      <c r="E525" s="858" t="s">
        <v>411</v>
      </c>
      <c r="F525" s="859"/>
      <c r="G525" s="341">
        <f>'Kalkulace a Porovnání'!G525</f>
        <v>0</v>
      </c>
      <c r="H525" s="341">
        <f>'Kalkulace a Porovnání'!H525</f>
        <v>0</v>
      </c>
      <c r="K525" s="12" t="s">
        <v>83</v>
      </c>
      <c r="L525" s="13" t="s">
        <v>81</v>
      </c>
      <c r="M525" s="13" t="s">
        <v>58</v>
      </c>
      <c r="N525" s="858" t="s">
        <v>411</v>
      </c>
      <c r="O525" s="859"/>
      <c r="P525" s="341">
        <f>'Kalkulace a Porovnání'!P525</f>
        <v>0</v>
      </c>
      <c r="Q525" s="341">
        <f>'Kalkulace a Porovnání'!Q525</f>
        <v>0</v>
      </c>
      <c r="T525" s="12" t="s">
        <v>83</v>
      </c>
      <c r="U525" s="13" t="s">
        <v>81</v>
      </c>
      <c r="V525" s="13" t="s">
        <v>58</v>
      </c>
      <c r="W525" s="858" t="s">
        <v>411</v>
      </c>
      <c r="X525" s="859"/>
      <c r="Y525" s="341">
        <f>'Kalkulace a Porovnání'!Y525</f>
        <v>0</v>
      </c>
      <c r="Z525" s="341">
        <f>'Kalkulace a Porovnání'!Z525</f>
        <v>0</v>
      </c>
      <c r="AA525" s="341">
        <f>'Kalkulace a Porovnání'!AA525</f>
        <v>0</v>
      </c>
      <c r="AB525" s="341">
        <f>'Kalkulace a Porovnání'!AB525</f>
        <v>0</v>
      </c>
      <c r="AC525" s="146"/>
      <c r="AD525" s="428"/>
      <c r="AG525" s="428"/>
      <c r="AH525" s="428"/>
      <c r="AI525" s="428"/>
      <c r="AJ525" s="428"/>
      <c r="AK525" s="428"/>
      <c r="AL525" s="146"/>
    </row>
    <row r="526" spans="2:38" x14ac:dyDescent="0.25">
      <c r="B526" s="12" t="s">
        <v>155</v>
      </c>
      <c r="C526" s="13" t="s">
        <v>393</v>
      </c>
      <c r="D526" s="13" t="s">
        <v>73</v>
      </c>
      <c r="E526" s="854" t="s">
        <v>412</v>
      </c>
      <c r="F526" s="855"/>
      <c r="G526" s="138">
        <f>'Kalkulace a Porovnání'!G526</f>
        <v>0</v>
      </c>
      <c r="H526" s="138">
        <f>'Kalkulace a Porovnání'!H526</f>
        <v>0</v>
      </c>
      <c r="K526" s="12" t="s">
        <v>155</v>
      </c>
      <c r="L526" s="13" t="s">
        <v>393</v>
      </c>
      <c r="M526" s="13" t="s">
        <v>73</v>
      </c>
      <c r="N526" s="854" t="s">
        <v>412</v>
      </c>
      <c r="O526" s="855"/>
      <c r="P526" s="138">
        <f>'Kalkulace a Porovnání'!P526</f>
        <v>0</v>
      </c>
      <c r="Q526" s="138">
        <f>'Kalkulace a Porovnání'!Q526</f>
        <v>0</v>
      </c>
      <c r="T526" s="12" t="s">
        <v>155</v>
      </c>
      <c r="U526" s="13" t="s">
        <v>393</v>
      </c>
      <c r="V526" s="13" t="s">
        <v>73</v>
      </c>
      <c r="W526" s="854" t="s">
        <v>412</v>
      </c>
      <c r="X526" s="855"/>
      <c r="Y526" s="138">
        <f>'Kalkulace a Porovnání'!Y526</f>
        <v>0</v>
      </c>
      <c r="Z526" s="138">
        <f>'Kalkulace a Porovnání'!Z526</f>
        <v>0</v>
      </c>
      <c r="AA526" s="138">
        <f>'Kalkulace a Porovnání'!AA526</f>
        <v>0</v>
      </c>
      <c r="AB526" s="138">
        <f>'Kalkulace a Porovnání'!AB526</f>
        <v>0</v>
      </c>
      <c r="AC526" s="146"/>
      <c r="AD526" s="428"/>
      <c r="AG526" s="428"/>
      <c r="AH526" s="428"/>
      <c r="AI526" s="428"/>
      <c r="AJ526" s="428"/>
      <c r="AK526" s="428"/>
      <c r="AL526" s="146"/>
    </row>
    <row r="527" spans="2:38" x14ac:dyDescent="0.25">
      <c r="B527" s="12" t="s">
        <v>355</v>
      </c>
      <c r="C527" s="13" t="str">
        <f>CONCATENATE("UPLATŇOVANÁ CENA pro vodné, stočné + ",Provozování!E519*100,"% DPH")</f>
        <v>UPLATŇOVANÁ CENA pro vodné, stočné + 0% DPH</v>
      </c>
      <c r="D527" s="13" t="s">
        <v>73</v>
      </c>
      <c r="E527" s="854" t="s">
        <v>413</v>
      </c>
      <c r="F527" s="855"/>
      <c r="G527" s="138">
        <f>'Kalkulace a Porovnání'!G527</f>
        <v>0</v>
      </c>
      <c r="H527" s="138">
        <f>'Kalkulace a Porovnání'!H527</f>
        <v>0</v>
      </c>
      <c r="K527" s="12" t="s">
        <v>355</v>
      </c>
      <c r="L527" s="13" t="str">
        <f>C527</f>
        <v>UPLATŇOVANÁ CENA pro vodné, stočné + 0% DPH</v>
      </c>
      <c r="M527" s="13" t="s">
        <v>73</v>
      </c>
      <c r="N527" s="854" t="s">
        <v>413</v>
      </c>
      <c r="O527" s="855"/>
      <c r="P527" s="138">
        <f>'Kalkulace a Porovnání'!P527</f>
        <v>0</v>
      </c>
      <c r="Q527" s="138">
        <f>'Kalkulace a Porovnání'!Q527</f>
        <v>0</v>
      </c>
      <c r="T527" s="12" t="s">
        <v>355</v>
      </c>
      <c r="U527" s="13" t="str">
        <f>C527</f>
        <v>UPLATŇOVANÁ CENA pro vodné, stočné + 0% DPH</v>
      </c>
      <c r="V527" s="13" t="s">
        <v>73</v>
      </c>
      <c r="W527" s="854" t="s">
        <v>413</v>
      </c>
      <c r="X527" s="855"/>
      <c r="Y527" s="138">
        <f>'Kalkulace a Porovnání'!Y527</f>
        <v>0</v>
      </c>
      <c r="Z527" s="138">
        <f>'Kalkulace a Porovnání'!Z527</f>
        <v>0</v>
      </c>
      <c r="AA527" s="138">
        <f>'Kalkulace a Porovnání'!AA527</f>
        <v>0</v>
      </c>
      <c r="AB527" s="138">
        <f>'Kalkulace a Porovnání'!AB527</f>
        <v>0</v>
      </c>
      <c r="AC527" s="146"/>
      <c r="AD527" s="428"/>
      <c r="AG527" s="428"/>
      <c r="AH527" s="428"/>
      <c r="AI527" s="428"/>
      <c r="AJ527" s="428"/>
      <c r="AK527" s="428"/>
      <c r="AL527" s="146"/>
    </row>
    <row r="528" spans="2:38" x14ac:dyDescent="0.25">
      <c r="B528" s="210" t="s">
        <v>356</v>
      </c>
      <c r="C528" s="244" t="s">
        <v>357</v>
      </c>
      <c r="D528" s="244"/>
      <c r="E528" s="884" t="s">
        <v>414</v>
      </c>
      <c r="F528" s="869"/>
      <c r="G528" s="138">
        <f>'Kalkulace a Porovnání'!G528</f>
        <v>0</v>
      </c>
      <c r="H528" s="138">
        <f>'Kalkulace a Porovnání'!H528</f>
        <v>0</v>
      </c>
      <c r="K528" s="210" t="s">
        <v>356</v>
      </c>
      <c r="L528" s="244" t="s">
        <v>357</v>
      </c>
      <c r="M528" s="244"/>
      <c r="N528" s="884" t="s">
        <v>414</v>
      </c>
      <c r="O528" s="869"/>
      <c r="P528" s="138">
        <f>'Kalkulace a Porovnání'!P528</f>
        <v>0</v>
      </c>
      <c r="Q528" s="138">
        <f>'Kalkulace a Porovnání'!Q528</f>
        <v>0</v>
      </c>
      <c r="T528" s="12" t="s">
        <v>356</v>
      </c>
      <c r="U528" s="13" t="s">
        <v>357</v>
      </c>
      <c r="V528" s="13"/>
      <c r="W528" s="884" t="s">
        <v>414</v>
      </c>
      <c r="X528" s="869"/>
      <c r="Y528" s="530">
        <f>'Kalkulace a Porovnání'!Y528</f>
        <v>0</v>
      </c>
      <c r="Z528" s="530">
        <f>'Kalkulace a Porovnání'!Z528</f>
        <v>0</v>
      </c>
      <c r="AA528" s="530">
        <f>'Kalkulace a Porovnání'!AA528</f>
        <v>0</v>
      </c>
      <c r="AB528" s="530">
        <f>'Kalkulace a Porovnání'!AB528</f>
        <v>0</v>
      </c>
      <c r="AC528" s="146"/>
      <c r="AD528" s="428"/>
      <c r="AG528" s="428"/>
      <c r="AH528" s="428"/>
      <c r="AI528" s="428"/>
      <c r="AJ528" s="428"/>
      <c r="AK528" s="428"/>
      <c r="AL528" s="146"/>
    </row>
    <row r="529" spans="2:38" x14ac:dyDescent="0.25">
      <c r="B529" s="29"/>
      <c r="C529" s="29"/>
      <c r="D529" s="29"/>
      <c r="E529" s="29"/>
      <c r="F529" s="29"/>
      <c r="G529" s="29"/>
      <c r="H529" s="29"/>
      <c r="I529" s="29"/>
      <c r="J529" s="29"/>
      <c r="K529" s="29"/>
      <c r="L529" s="29"/>
      <c r="M529" s="29"/>
      <c r="N529" s="29"/>
      <c r="O529" s="29"/>
      <c r="P529" s="29"/>
      <c r="Q529" s="29"/>
      <c r="R529" s="29"/>
      <c r="T529" s="1121" t="s">
        <v>155</v>
      </c>
      <c r="U529" s="1121" t="s">
        <v>154</v>
      </c>
      <c r="V529" s="1122" t="s">
        <v>10</v>
      </c>
      <c r="W529" s="854" t="s">
        <v>156</v>
      </c>
      <c r="X529" s="858"/>
      <c r="Y529" s="89" t="s">
        <v>158</v>
      </c>
      <c r="Z529" s="92" t="s">
        <v>159</v>
      </c>
      <c r="AA529" s="89" t="s">
        <v>158</v>
      </c>
      <c r="AB529" s="92" t="s">
        <v>159</v>
      </c>
      <c r="AC529" s="146"/>
      <c r="AD529" s="428"/>
      <c r="AG529" s="428"/>
      <c r="AH529" s="428"/>
      <c r="AI529" s="428"/>
      <c r="AJ529" s="428"/>
      <c r="AK529" s="428"/>
      <c r="AL529" s="146"/>
    </row>
    <row r="530" spans="2:38" x14ac:dyDescent="0.25">
      <c r="B530" s="383"/>
      <c r="C530" s="382"/>
      <c r="D530" s="382"/>
      <c r="E530" s="382"/>
      <c r="F530" s="382"/>
      <c r="G530" s="29"/>
      <c r="H530" s="29"/>
      <c r="I530" s="29"/>
      <c r="J530" s="29"/>
      <c r="K530" s="29"/>
      <c r="L530" s="29"/>
      <c r="M530" s="29"/>
      <c r="N530" s="29"/>
      <c r="O530" s="29"/>
      <c r="P530" s="29"/>
      <c r="Q530" s="29"/>
      <c r="R530" s="29"/>
      <c r="T530" s="1121"/>
      <c r="U530" s="1121"/>
      <c r="V530" s="1122"/>
      <c r="W530" s="1123">
        <f>'Kalkulace a Porovnání'!W530</f>
        <v>0</v>
      </c>
      <c r="X530" s="1124"/>
      <c r="Y530" s="90">
        <f>'Kalkulace a Porovnání'!Y530</f>
        <v>2030</v>
      </c>
      <c r="Z530" s="90">
        <f>'Kalkulace a Porovnání'!Z530</f>
        <v>2030</v>
      </c>
      <c r="AA530" s="90">
        <f>'Kalkulace a Porovnání'!AA530</f>
        <v>2030</v>
      </c>
      <c r="AB530" s="90">
        <f>'Kalkulace a Porovnání'!AB530</f>
        <v>2030</v>
      </c>
      <c r="AC530" s="146"/>
      <c r="AD530" s="428"/>
      <c r="AG530" s="428"/>
      <c r="AH530" s="428"/>
      <c r="AI530" s="428"/>
      <c r="AJ530" s="428"/>
      <c r="AK530" s="428"/>
      <c r="AL530" s="146"/>
    </row>
    <row r="531" spans="2:38" x14ac:dyDescent="0.25">
      <c r="B531" s="383"/>
      <c r="C531" s="382"/>
      <c r="D531" s="382"/>
      <c r="E531" s="382"/>
      <c r="F531" s="382"/>
      <c r="G531" s="29"/>
      <c r="H531" s="29"/>
      <c r="I531" s="29"/>
      <c r="J531" s="29"/>
      <c r="K531" s="29"/>
      <c r="L531" s="29"/>
      <c r="M531" s="29"/>
      <c r="N531" s="29"/>
      <c r="O531" s="29"/>
      <c r="P531" s="29"/>
      <c r="Q531" s="29"/>
      <c r="R531" s="29"/>
      <c r="T531" s="1121"/>
      <c r="U531" s="1121"/>
      <c r="V531" s="1122"/>
      <c r="W531" s="854" t="s">
        <v>157</v>
      </c>
      <c r="X531" s="858"/>
      <c r="Y531" s="91" t="s">
        <v>160</v>
      </c>
      <c r="Z531" s="91" t="s">
        <v>160</v>
      </c>
      <c r="AA531" s="91" t="s">
        <v>161</v>
      </c>
      <c r="AB531" s="91" t="s">
        <v>161</v>
      </c>
      <c r="AC531" s="146"/>
      <c r="AD531" s="428"/>
      <c r="AG531" s="428"/>
      <c r="AH531" s="428"/>
      <c r="AI531" s="428"/>
      <c r="AJ531" s="428"/>
      <c r="AK531" s="428"/>
      <c r="AL531" s="146"/>
    </row>
    <row r="532" spans="2:38" x14ac:dyDescent="0.25">
      <c r="B532" s="382"/>
      <c r="C532" s="382"/>
      <c r="D532" s="382"/>
      <c r="E532" s="382"/>
      <c r="F532" s="382"/>
      <c r="G532" s="29"/>
      <c r="H532" s="29"/>
      <c r="I532" s="29"/>
      <c r="J532" s="29"/>
      <c r="K532" s="29"/>
      <c r="L532" s="29"/>
      <c r="M532" s="29"/>
      <c r="N532" s="29"/>
      <c r="O532" s="29"/>
      <c r="P532" s="29"/>
      <c r="Q532" s="29"/>
      <c r="R532" s="29"/>
      <c r="T532" s="1121"/>
      <c r="U532" s="1121"/>
      <c r="V532" s="1122"/>
      <c r="W532" s="1125">
        <f>'Kalkulace a Porovnání'!W532</f>
        <v>0</v>
      </c>
      <c r="X532" s="1125"/>
      <c r="Y532" s="341">
        <f>'Kalkulace a Porovnání'!Y532</f>
        <v>0</v>
      </c>
      <c r="Z532" s="341">
        <f>'Kalkulace a Porovnání'!Z532</f>
        <v>0</v>
      </c>
      <c r="AA532" s="341">
        <f>'Kalkulace a Porovnání'!AA532</f>
        <v>0</v>
      </c>
      <c r="AB532" s="341">
        <f>'Kalkulace a Porovnání'!AB532</f>
        <v>0</v>
      </c>
      <c r="AC532" s="146"/>
      <c r="AD532" s="428"/>
      <c r="AG532" s="428"/>
      <c r="AH532" s="428"/>
      <c r="AI532" s="428"/>
      <c r="AJ532" s="428"/>
      <c r="AK532" s="428"/>
      <c r="AL532" s="146"/>
    </row>
    <row r="533" spans="2:38" x14ac:dyDescent="0.25">
      <c r="B533" s="29"/>
      <c r="AC533" s="146"/>
      <c r="AD533" s="428"/>
      <c r="AG533" s="428"/>
      <c r="AH533" s="428"/>
      <c r="AI533" s="428"/>
      <c r="AJ533" s="428"/>
      <c r="AK533" s="428"/>
      <c r="AL533" s="146"/>
    </row>
    <row r="534" spans="2:38" x14ac:dyDescent="0.25">
      <c r="B534" s="899" t="s">
        <v>316</v>
      </c>
      <c r="C534" s="900"/>
      <c r="D534" s="900"/>
      <c r="E534" s="900"/>
      <c r="F534" s="900"/>
      <c r="G534" s="900"/>
      <c r="H534" s="900"/>
      <c r="K534" s="899" t="s">
        <v>317</v>
      </c>
      <c r="L534" s="900"/>
      <c r="M534" s="900"/>
      <c r="N534" s="900"/>
      <c r="O534" s="900"/>
      <c r="P534" s="900"/>
      <c r="Q534" s="900"/>
      <c r="T534" s="899" t="s">
        <v>162</v>
      </c>
      <c r="U534" s="900"/>
      <c r="V534" s="900"/>
      <c r="W534" s="900"/>
      <c r="X534" s="900"/>
      <c r="Y534" s="900"/>
      <c r="Z534" s="900"/>
      <c r="AA534" s="900"/>
      <c r="AB534" s="900"/>
      <c r="AC534" s="146"/>
      <c r="AD534" s="428"/>
      <c r="AG534" s="428"/>
      <c r="AH534" s="428"/>
      <c r="AI534" s="428"/>
      <c r="AJ534" s="428"/>
      <c r="AK534" s="428"/>
      <c r="AL534" s="146"/>
    </row>
    <row r="535" spans="2:38" x14ac:dyDescent="0.25">
      <c r="C535" s="272"/>
      <c r="E535" s="25"/>
      <c r="F535" s="25"/>
      <c r="L535" s="25"/>
      <c r="N535" s="25"/>
      <c r="T535" s="1079" t="s">
        <v>318</v>
      </c>
      <c r="U535" s="1079"/>
      <c r="V535" s="1079"/>
      <c r="W535" s="1079"/>
      <c r="X535" s="1079"/>
      <c r="Y535" s="1079"/>
      <c r="Z535" s="1079"/>
      <c r="AA535" s="1079"/>
      <c r="AB535" s="1079"/>
      <c r="AC535" s="146"/>
      <c r="AD535" s="428"/>
      <c r="AG535" s="428"/>
      <c r="AH535" s="428"/>
      <c r="AI535" s="428"/>
      <c r="AJ535" s="428"/>
      <c r="AK535" s="428"/>
      <c r="AL535" s="146"/>
    </row>
    <row r="536" spans="2:38" x14ac:dyDescent="0.25">
      <c r="C536" s="272" t="s">
        <v>103</v>
      </c>
      <c r="D536" s="274">
        <f>'Kalkulace a Porovnání'!D536</f>
        <v>2031</v>
      </c>
      <c r="E536" s="25"/>
      <c r="F536" s="272" t="s">
        <v>221</v>
      </c>
      <c r="G536" s="275" t="str">
        <f>'Kalkulace a Porovnání'!G536</f>
        <v>-</v>
      </c>
      <c r="H536" s="275" t="str">
        <f>'Kalkulace a Porovnání'!H536</f>
        <v xml:space="preserve"> </v>
      </c>
      <c r="L536" s="272" t="s">
        <v>103</v>
      </c>
      <c r="M536" s="274">
        <f>'Kalkulace a Porovnání'!M536</f>
        <v>2031</v>
      </c>
      <c r="O536" s="272" t="s">
        <v>221</v>
      </c>
      <c r="P536" s="275" t="str">
        <f>'Kalkulace a Porovnání'!P536</f>
        <v>-</v>
      </c>
      <c r="Q536" s="275" t="str">
        <f>'Kalkulace a Porovnání'!Q536</f>
        <v xml:space="preserve"> </v>
      </c>
      <c r="T536" s="333"/>
      <c r="U536" s="333"/>
      <c r="V536" s="342" t="s">
        <v>147</v>
      </c>
      <c r="W536" s="274">
        <f>'Kalkulace a Porovnání'!W536</f>
        <v>2031</v>
      </c>
      <c r="Z536" s="272" t="s">
        <v>221</v>
      </c>
      <c r="AA536" s="275" t="str">
        <f>'Kalkulace a Porovnání'!AA536</f>
        <v>-</v>
      </c>
      <c r="AB536" s="275" t="str">
        <f>'Kalkulace a Porovnání'!AB536</f>
        <v xml:space="preserve"> </v>
      </c>
      <c r="AC536" s="146"/>
      <c r="AD536" s="428"/>
      <c r="AG536" s="428"/>
      <c r="AH536" s="428"/>
      <c r="AI536" s="428"/>
      <c r="AJ536" s="428"/>
      <c r="AK536" s="428"/>
      <c r="AL536" s="146"/>
    </row>
    <row r="537" spans="2:38" x14ac:dyDescent="0.25">
      <c r="B537" s="13" t="s">
        <v>66</v>
      </c>
      <c r="C537" s="13" t="s">
        <v>89</v>
      </c>
      <c r="D537" s="1061" t="str">
        <f>'Kalkulace a Porovnání'!D537</f>
        <v>PRVOK s.r.o., IČ 281 28 257</v>
      </c>
      <c r="E537" s="1062"/>
      <c r="F537" s="1062"/>
      <c r="G537" s="1062"/>
      <c r="H537" s="1063"/>
      <c r="K537" s="13" t="s">
        <v>66</v>
      </c>
      <c r="L537" s="13" t="s">
        <v>89</v>
      </c>
      <c r="M537" s="1061" t="str">
        <f>'Kalkulace a Porovnání'!M537</f>
        <v>PRVOK s.r.o., IČ 281 28 257</v>
      </c>
      <c r="N537" s="1062"/>
      <c r="O537" s="1062"/>
      <c r="P537" s="1062"/>
      <c r="Q537" s="1063"/>
      <c r="T537" s="13" t="s">
        <v>66</v>
      </c>
      <c r="U537" s="13" t="s">
        <v>89</v>
      </c>
      <c r="V537" s="1080" t="str">
        <f>'Kalkulace a Porovnání'!V537</f>
        <v>PRVOK s.r.o., IČ 281 28 257</v>
      </c>
      <c r="W537" s="1081"/>
      <c r="X537" s="1081"/>
      <c r="Y537" s="1081"/>
      <c r="Z537" s="1081"/>
      <c r="AA537" s="1081"/>
      <c r="AB537" s="1081"/>
      <c r="AC537" s="146"/>
      <c r="AD537" s="428"/>
      <c r="AG537" s="252"/>
      <c r="AH537" s="252"/>
      <c r="AI537" s="252"/>
      <c r="AJ537" s="252"/>
      <c r="AK537" s="428"/>
      <c r="AL537" s="146"/>
    </row>
    <row r="538" spans="2:38" x14ac:dyDescent="0.25">
      <c r="B538" s="13" t="s">
        <v>84</v>
      </c>
      <c r="C538" s="13" t="s">
        <v>90</v>
      </c>
      <c r="D538" s="1061" t="str">
        <f>'Kalkulace a Porovnání'!D538</f>
        <v>PRVOK s.r.o., IČ 281 28 257</v>
      </c>
      <c r="E538" s="1062"/>
      <c r="F538" s="1062"/>
      <c r="G538" s="1062"/>
      <c r="H538" s="1063"/>
      <c r="K538" s="13" t="s">
        <v>84</v>
      </c>
      <c r="L538" s="13" t="s">
        <v>90</v>
      </c>
      <c r="M538" s="1061" t="str">
        <f>'Kalkulace a Porovnání'!M538</f>
        <v>PRVOK s.r.o., IČ 281 28 257</v>
      </c>
      <c r="N538" s="1062"/>
      <c r="O538" s="1062"/>
      <c r="P538" s="1062"/>
      <c r="Q538" s="1063"/>
      <c r="T538" s="13" t="s">
        <v>84</v>
      </c>
      <c r="U538" s="13" t="s">
        <v>90</v>
      </c>
      <c r="V538" s="1080" t="str">
        <f>'Kalkulace a Porovnání'!V538</f>
        <v>PRVOK s.r.o., IČ 281 28 257</v>
      </c>
      <c r="W538" s="1081"/>
      <c r="X538" s="1081"/>
      <c r="Y538" s="1081"/>
      <c r="Z538" s="1081"/>
      <c r="AA538" s="1081"/>
      <c r="AB538" s="1081"/>
      <c r="AC538" s="146"/>
      <c r="AD538" s="428"/>
      <c r="AG538" s="252"/>
      <c r="AH538" s="252"/>
      <c r="AI538" s="252"/>
      <c r="AJ538" s="252"/>
      <c r="AK538" s="428"/>
      <c r="AL538" s="146"/>
    </row>
    <row r="539" spans="2:38" x14ac:dyDescent="0.25">
      <c r="B539" s="13" t="s">
        <v>85</v>
      </c>
      <c r="C539" s="13" t="s">
        <v>91</v>
      </c>
      <c r="D539" s="1061" t="str">
        <f>'Kalkulace a Porovnání'!D539</f>
        <v>Obec Benešov nad Černou, IČ 00245780</v>
      </c>
      <c r="E539" s="1062"/>
      <c r="F539" s="1062"/>
      <c r="G539" s="1062"/>
      <c r="H539" s="1063"/>
      <c r="K539" s="13" t="s">
        <v>85</v>
      </c>
      <c r="L539" s="13" t="s">
        <v>91</v>
      </c>
      <c r="M539" s="1061" t="str">
        <f>'Kalkulace a Porovnání'!M539</f>
        <v>Obec Benešov nad Černou, IČ 00245780</v>
      </c>
      <c r="N539" s="1062"/>
      <c r="O539" s="1062"/>
      <c r="P539" s="1062"/>
      <c r="Q539" s="1063"/>
      <c r="T539" s="13" t="s">
        <v>85</v>
      </c>
      <c r="U539" s="13" t="s">
        <v>91</v>
      </c>
      <c r="V539" s="1080" t="str">
        <f>'Kalkulace a Porovnání'!V539</f>
        <v>Obec Benešov nad Černou, IČ 00245780</v>
      </c>
      <c r="W539" s="1081"/>
      <c r="X539" s="1081"/>
      <c r="Y539" s="1081"/>
      <c r="Z539" s="1081"/>
      <c r="AA539" s="1081"/>
      <c r="AB539" s="1081"/>
      <c r="AC539" s="146"/>
      <c r="AD539" s="428"/>
      <c r="AG539" s="252"/>
      <c r="AH539" s="252"/>
      <c r="AI539" s="252"/>
      <c r="AJ539" s="252"/>
      <c r="AK539" s="428"/>
      <c r="AL539" s="146"/>
    </row>
    <row r="540" spans="2:38" x14ac:dyDescent="0.25">
      <c r="B540" s="13" t="s">
        <v>86</v>
      </c>
      <c r="C540" s="13" t="s">
        <v>93</v>
      </c>
      <c r="D540" s="1061" t="str">
        <f>'Kalkulace a Porovnání'!D540</f>
        <v>A</v>
      </c>
      <c r="E540" s="1062"/>
      <c r="F540" s="1062"/>
      <c r="G540" s="1062"/>
      <c r="H540" s="1063"/>
      <c r="K540" s="13" t="s">
        <v>86</v>
      </c>
      <c r="L540" s="13" t="s">
        <v>93</v>
      </c>
      <c r="M540" s="1061" t="str">
        <f>'Kalkulace a Porovnání'!M540</f>
        <v>A</v>
      </c>
      <c r="N540" s="1062"/>
      <c r="O540" s="1062"/>
      <c r="P540" s="1062"/>
      <c r="Q540" s="1063"/>
      <c r="T540" s="13" t="s">
        <v>86</v>
      </c>
      <c r="U540" s="13" t="s">
        <v>93</v>
      </c>
      <c r="V540" s="1080" t="str">
        <f>'Kalkulace a Porovnání'!V540</f>
        <v>A</v>
      </c>
      <c r="W540" s="1081"/>
      <c r="X540" s="1081"/>
      <c r="Y540" s="1081"/>
      <c r="Z540" s="1081"/>
      <c r="AA540" s="1081"/>
      <c r="AB540" s="1081"/>
      <c r="AC540" s="146"/>
      <c r="AD540" s="428"/>
      <c r="AG540" s="252"/>
      <c r="AH540" s="252"/>
      <c r="AI540" s="252"/>
      <c r="AJ540" s="252"/>
      <c r="AK540" s="428"/>
      <c r="AL540" s="146"/>
    </row>
    <row r="541" spans="2:38" x14ac:dyDescent="0.25">
      <c r="B541" s="13" t="s">
        <v>87</v>
      </c>
      <c r="C541" s="13" t="s">
        <v>92</v>
      </c>
      <c r="D541" s="1061">
        <f>'Kalkulace a Porovnání'!D541</f>
        <v>1</v>
      </c>
      <c r="E541" s="1062"/>
      <c r="F541" s="1062"/>
      <c r="G541" s="1062"/>
      <c r="H541" s="1063"/>
      <c r="K541" s="13" t="s">
        <v>87</v>
      </c>
      <c r="L541" s="13" t="s">
        <v>92</v>
      </c>
      <c r="M541" s="1061">
        <f>'Kalkulace a Porovnání'!M541</f>
        <v>1</v>
      </c>
      <c r="N541" s="1062"/>
      <c r="O541" s="1062"/>
      <c r="P541" s="1062"/>
      <c r="Q541" s="1063"/>
      <c r="T541" s="13" t="s">
        <v>87</v>
      </c>
      <c r="U541" s="13" t="s">
        <v>92</v>
      </c>
      <c r="V541" s="1080">
        <f>'Kalkulace a Porovnání'!V541</f>
        <v>1</v>
      </c>
      <c r="W541" s="1081"/>
      <c r="X541" s="1081"/>
      <c r="Y541" s="1081"/>
      <c r="Z541" s="1081"/>
      <c r="AA541" s="1081"/>
      <c r="AB541" s="1081"/>
      <c r="AC541" s="146"/>
      <c r="AD541" s="428"/>
      <c r="AG541" s="252"/>
      <c r="AH541" s="252"/>
      <c r="AI541" s="252"/>
      <c r="AJ541" s="252"/>
      <c r="AK541" s="428"/>
      <c r="AL541" s="146"/>
    </row>
    <row r="542" spans="2:38" x14ac:dyDescent="0.25">
      <c r="B542" s="13" t="s">
        <v>88</v>
      </c>
      <c r="C542" s="13" t="s">
        <v>94</v>
      </c>
      <c r="D542" s="1061" t="str">
        <f>'Kalkulace a Porovnání'!D542</f>
        <v>[vyplnit]</v>
      </c>
      <c r="E542" s="1062"/>
      <c r="F542" s="1062"/>
      <c r="G542" s="1062"/>
      <c r="H542" s="1063"/>
      <c r="K542" s="13" t="s">
        <v>88</v>
      </c>
      <c r="L542" s="13" t="s">
        <v>94</v>
      </c>
      <c r="M542" s="1061" t="str">
        <f>'Kalkulace a Porovnání'!M542</f>
        <v xml:space="preserve"> </v>
      </c>
      <c r="N542" s="1062"/>
      <c r="O542" s="1062"/>
      <c r="P542" s="1062"/>
      <c r="Q542" s="1063"/>
      <c r="T542" s="13" t="s">
        <v>88</v>
      </c>
      <c r="U542" s="13" t="s">
        <v>94</v>
      </c>
      <c r="V542" s="1080" t="str">
        <f>'Kalkulace a Porovnání'!V542</f>
        <v xml:space="preserve"> </v>
      </c>
      <c r="W542" s="1081"/>
      <c r="X542" s="1081"/>
      <c r="Y542" s="1081"/>
      <c r="Z542" s="1081"/>
      <c r="AA542" s="1081"/>
      <c r="AB542" s="1081"/>
      <c r="AC542" s="146"/>
      <c r="AD542" s="428"/>
      <c r="AG542" s="252"/>
      <c r="AH542" s="252"/>
      <c r="AI542" s="252"/>
      <c r="AJ542" s="252"/>
      <c r="AK542" s="428"/>
      <c r="AL542" s="146"/>
    </row>
    <row r="543" spans="2:38" x14ac:dyDescent="0.25">
      <c r="AC543" s="146"/>
      <c r="AD543" s="428"/>
      <c r="AG543" s="252"/>
      <c r="AH543" s="252"/>
      <c r="AI543" s="252"/>
      <c r="AJ543" s="252"/>
      <c r="AK543" s="428"/>
      <c r="AL543" s="146"/>
    </row>
    <row r="544" spans="2:38" x14ac:dyDescent="0.25">
      <c r="B544" s="1052" t="s">
        <v>5</v>
      </c>
      <c r="C544" s="884" t="s">
        <v>0</v>
      </c>
      <c r="D544" s="868"/>
      <c r="E544" s="868"/>
      <c r="F544" s="868"/>
      <c r="G544" s="868"/>
      <c r="H544" s="869"/>
      <c r="K544" s="1052" t="s">
        <v>5</v>
      </c>
      <c r="L544" s="884" t="s">
        <v>0</v>
      </c>
      <c r="M544" s="868"/>
      <c r="N544" s="868"/>
      <c r="O544" s="868"/>
      <c r="P544" s="868"/>
      <c r="Q544" s="869"/>
      <c r="T544" s="1052" t="s">
        <v>5</v>
      </c>
      <c r="U544" s="884" t="s">
        <v>0</v>
      </c>
      <c r="V544" s="868"/>
      <c r="W544" s="868"/>
      <c r="X544" s="868"/>
      <c r="Y544" s="868"/>
      <c r="Z544" s="868"/>
      <c r="AA544" s="868"/>
      <c r="AB544" s="869"/>
      <c r="AC544" s="146"/>
      <c r="AD544" s="428"/>
      <c r="AG544" s="252"/>
      <c r="AH544" s="252"/>
      <c r="AI544" s="252"/>
      <c r="AJ544" s="252"/>
      <c r="AK544" s="428"/>
      <c r="AL544" s="146"/>
    </row>
    <row r="545" spans="2:38" x14ac:dyDescent="0.25">
      <c r="B545" s="1053"/>
      <c r="C545" s="1052" t="s">
        <v>1</v>
      </c>
      <c r="D545" s="1065" t="s">
        <v>133</v>
      </c>
      <c r="E545" s="884" t="s">
        <v>3</v>
      </c>
      <c r="F545" s="868"/>
      <c r="G545" s="884" t="s">
        <v>4</v>
      </c>
      <c r="H545" s="869"/>
      <c r="K545" s="1053"/>
      <c r="L545" s="1052" t="s">
        <v>1</v>
      </c>
      <c r="M545" s="1065" t="s">
        <v>133</v>
      </c>
      <c r="N545" s="884" t="s">
        <v>3</v>
      </c>
      <c r="O545" s="868"/>
      <c r="P545" s="884" t="s">
        <v>4</v>
      </c>
      <c r="Q545" s="869"/>
      <c r="T545" s="1053"/>
      <c r="U545" s="1052" t="s">
        <v>1</v>
      </c>
      <c r="V545" s="1065" t="s">
        <v>133</v>
      </c>
      <c r="W545" s="884" t="s">
        <v>3</v>
      </c>
      <c r="X545" s="868"/>
      <c r="Y545" s="868"/>
      <c r="Z545" s="884" t="s">
        <v>4</v>
      </c>
      <c r="AA545" s="868"/>
      <c r="AB545" s="869"/>
      <c r="AC545" s="146"/>
      <c r="AD545" s="428"/>
      <c r="AG545" s="252"/>
      <c r="AH545" s="252"/>
      <c r="AI545" s="252"/>
      <c r="AJ545" s="252"/>
      <c r="AK545" s="428"/>
      <c r="AL545" s="146"/>
    </row>
    <row r="546" spans="2:38" x14ac:dyDescent="0.25">
      <c r="B546" s="1053"/>
      <c r="C546" s="1053"/>
      <c r="D546" s="1053"/>
      <c r="E546" s="28">
        <f>'Kalkulace a Porovnání'!E546</f>
        <v>2030</v>
      </c>
      <c r="F546" s="28">
        <f>'Kalkulace a Porovnání'!F546</f>
        <v>2031</v>
      </c>
      <c r="G546" s="28">
        <f>'Kalkulace a Porovnání'!G546</f>
        <v>2030</v>
      </c>
      <c r="H546" s="28">
        <f>'Kalkulace a Porovnání'!H546</f>
        <v>2031</v>
      </c>
      <c r="K546" s="1053"/>
      <c r="L546" s="1053"/>
      <c r="M546" s="1053"/>
      <c r="N546" s="28">
        <f>'Kalkulace a Porovnání'!N546</f>
        <v>2030</v>
      </c>
      <c r="O546" s="28">
        <f>'Kalkulace a Porovnání'!O546</f>
        <v>2031</v>
      </c>
      <c r="P546" s="28">
        <f>'Kalkulace a Porovnání'!P546</f>
        <v>2030</v>
      </c>
      <c r="Q546" s="28">
        <f>'Kalkulace a Porovnání'!Q546</f>
        <v>2031</v>
      </c>
      <c r="T546" s="1053"/>
      <c r="U546" s="1053"/>
      <c r="V546" s="1053"/>
      <c r="W546" s="28">
        <f>'Kalkulace a Porovnání'!W546</f>
        <v>2031</v>
      </c>
      <c r="X546" s="28">
        <f>'Kalkulace a Porovnání'!X546</f>
        <v>2031</v>
      </c>
      <c r="Y546" s="28">
        <f>'Kalkulace a Porovnání'!Y546</f>
        <v>2031</v>
      </c>
      <c r="Z546" s="28">
        <f>'Kalkulace a Porovnání'!Z546</f>
        <v>2031</v>
      </c>
      <c r="AA546" s="28">
        <f>'Kalkulace a Porovnání'!AA546</f>
        <v>2031</v>
      </c>
      <c r="AB546" s="28">
        <f>'Kalkulace a Porovnání'!AB546</f>
        <v>2031</v>
      </c>
      <c r="AC546" s="146"/>
      <c r="AD546" s="428"/>
      <c r="AG546" s="252"/>
      <c r="AH546" s="252"/>
      <c r="AI546" s="252"/>
      <c r="AJ546" s="252"/>
      <c r="AK546" s="428"/>
      <c r="AL546" s="146"/>
    </row>
    <row r="547" spans="2:38" x14ac:dyDescent="0.25">
      <c r="B547" s="1054"/>
      <c r="C547" s="1054"/>
      <c r="D547" s="1054"/>
      <c r="E547" s="7" t="s">
        <v>151</v>
      </c>
      <c r="F547" s="7" t="s">
        <v>98</v>
      </c>
      <c r="G547" s="7" t="s">
        <v>151</v>
      </c>
      <c r="H547" s="19" t="s">
        <v>98</v>
      </c>
      <c r="K547" s="1054"/>
      <c r="L547" s="1054"/>
      <c r="M547" s="1054"/>
      <c r="N547" s="7" t="s">
        <v>151</v>
      </c>
      <c r="O547" s="7" t="s">
        <v>98</v>
      </c>
      <c r="P547" s="7" t="s">
        <v>151</v>
      </c>
      <c r="Q547" s="19" t="s">
        <v>98</v>
      </c>
      <c r="T547" s="1054"/>
      <c r="U547" s="1054"/>
      <c r="V547" s="1054"/>
      <c r="W547" s="7" t="s">
        <v>150</v>
      </c>
      <c r="X547" s="7" t="s">
        <v>98</v>
      </c>
      <c r="Y547" s="7" t="s">
        <v>149</v>
      </c>
      <c r="Z547" s="7" t="s">
        <v>150</v>
      </c>
      <c r="AA547" s="7" t="s">
        <v>98</v>
      </c>
      <c r="AB547" s="19" t="s">
        <v>149</v>
      </c>
      <c r="AC547" s="146"/>
      <c r="AD547" s="428"/>
      <c r="AG547" s="252"/>
      <c r="AH547" s="252"/>
      <c r="AI547" s="252"/>
      <c r="AJ547" s="252"/>
      <c r="AK547" s="428"/>
      <c r="AL547" s="146"/>
    </row>
    <row r="548" spans="2:38" x14ac:dyDescent="0.25">
      <c r="B548" s="11">
        <v>1</v>
      </c>
      <c r="C548" s="11">
        <v>2</v>
      </c>
      <c r="D548" s="11" t="s">
        <v>95</v>
      </c>
      <c r="E548" s="11">
        <v>3</v>
      </c>
      <c r="F548" s="11">
        <v>4</v>
      </c>
      <c r="G548" s="11">
        <v>6</v>
      </c>
      <c r="H548" s="22">
        <v>7</v>
      </c>
      <c r="K548" s="11">
        <v>1</v>
      </c>
      <c r="L548" s="11">
        <v>2</v>
      </c>
      <c r="M548" s="11" t="s">
        <v>95</v>
      </c>
      <c r="N548" s="11">
        <v>3</v>
      </c>
      <c r="O548" s="11">
        <v>4</v>
      </c>
      <c r="P548" s="11">
        <v>6</v>
      </c>
      <c r="Q548" s="22">
        <v>7</v>
      </c>
      <c r="T548" s="11">
        <v>1</v>
      </c>
      <c r="U548" s="11">
        <v>2</v>
      </c>
      <c r="V548" s="11" t="s">
        <v>95</v>
      </c>
      <c r="W548" s="11">
        <v>3</v>
      </c>
      <c r="X548" s="11">
        <v>4</v>
      </c>
      <c r="Y548" s="11">
        <v>5</v>
      </c>
      <c r="Z548" s="11">
        <v>6</v>
      </c>
      <c r="AA548" s="11">
        <v>7</v>
      </c>
      <c r="AB548" s="22">
        <v>8</v>
      </c>
      <c r="AC548" s="146"/>
      <c r="AD548" s="428"/>
      <c r="AG548" s="252"/>
      <c r="AH548" s="252"/>
      <c r="AI548" s="252"/>
      <c r="AJ548" s="252"/>
      <c r="AK548" s="428"/>
      <c r="AL548" s="146"/>
    </row>
    <row r="549" spans="2:38" x14ac:dyDescent="0.25">
      <c r="B549" s="9" t="s">
        <v>8</v>
      </c>
      <c r="C549" s="10" t="s">
        <v>9</v>
      </c>
      <c r="D549" s="11" t="s">
        <v>10</v>
      </c>
      <c r="E549" s="41">
        <f>'Kalkulace a Porovnání'!E549</f>
        <v>0</v>
      </c>
      <c r="F549" s="41">
        <f>'Kalkulace a Porovnání'!F549</f>
        <v>0</v>
      </c>
      <c r="G549" s="41">
        <f>'Kalkulace a Porovnání'!G549</f>
        <v>0</v>
      </c>
      <c r="H549" s="86">
        <f>'Kalkulace a Porovnání'!H549</f>
        <v>0</v>
      </c>
      <c r="K549" s="9" t="s">
        <v>8</v>
      </c>
      <c r="L549" s="10" t="s">
        <v>9</v>
      </c>
      <c r="M549" s="11" t="s">
        <v>10</v>
      </c>
      <c r="N549" s="41">
        <f>'Kalkulace a Porovnání'!N549</f>
        <v>0</v>
      </c>
      <c r="O549" s="41">
        <f>'Kalkulace a Porovnání'!O549</f>
        <v>0</v>
      </c>
      <c r="P549" s="41">
        <f>'Kalkulace a Porovnání'!P549</f>
        <v>0</v>
      </c>
      <c r="Q549" s="86">
        <f>'Kalkulace a Porovnání'!Q549</f>
        <v>0</v>
      </c>
      <c r="T549" s="9" t="s">
        <v>8</v>
      </c>
      <c r="U549" s="10" t="s">
        <v>9</v>
      </c>
      <c r="V549" s="11" t="s">
        <v>10</v>
      </c>
      <c r="W549" s="41">
        <f>'Kalkulace a Porovnání'!W549</f>
        <v>0</v>
      </c>
      <c r="X549" s="41">
        <f>'Kalkulace a Porovnání'!X549</f>
        <v>0</v>
      </c>
      <c r="Y549" s="41">
        <f>'Kalkulace a Porovnání'!Y549</f>
        <v>0</v>
      </c>
      <c r="Z549" s="41">
        <f>'Kalkulace a Porovnání'!Z549</f>
        <v>0</v>
      </c>
      <c r="AA549" s="41">
        <f>'Kalkulace a Porovnání'!AA549</f>
        <v>0</v>
      </c>
      <c r="AB549" s="86">
        <f>'Kalkulace a Porovnání'!AB549</f>
        <v>0</v>
      </c>
      <c r="AC549" s="146"/>
      <c r="AD549" s="428"/>
      <c r="AG549" s="252"/>
      <c r="AH549" s="252"/>
      <c r="AI549" s="252"/>
      <c r="AJ549" s="252"/>
      <c r="AK549" s="428"/>
      <c r="AL549" s="146"/>
    </row>
    <row r="550" spans="2:38" x14ac:dyDescent="0.25">
      <c r="B550" s="12" t="s">
        <v>11</v>
      </c>
      <c r="C550" s="13" t="s">
        <v>12</v>
      </c>
      <c r="D550" s="3" t="s">
        <v>10</v>
      </c>
      <c r="E550" s="44">
        <f>'Kalkulace a Porovnání'!E550</f>
        <v>0</v>
      </c>
      <c r="F550" s="44">
        <f>'Kalkulace a Porovnání'!F550</f>
        <v>0</v>
      </c>
      <c r="G550" s="44">
        <f>'Kalkulace a Porovnání'!G550</f>
        <v>0</v>
      </c>
      <c r="H550" s="30">
        <f>'Kalkulace a Porovnání'!H550</f>
        <v>0</v>
      </c>
      <c r="K550" s="12" t="s">
        <v>11</v>
      </c>
      <c r="L550" s="13" t="s">
        <v>12</v>
      </c>
      <c r="M550" s="3" t="s">
        <v>10</v>
      </c>
      <c r="N550" s="44">
        <f>'Kalkulace a Porovnání'!N550</f>
        <v>0</v>
      </c>
      <c r="O550" s="44">
        <f>'Kalkulace a Porovnání'!O550</f>
        <v>0</v>
      </c>
      <c r="P550" s="44">
        <f>'Kalkulace a Porovnání'!P550</f>
        <v>0</v>
      </c>
      <c r="Q550" s="30">
        <f>'Kalkulace a Porovnání'!Q550</f>
        <v>0</v>
      </c>
      <c r="T550" s="12" t="s">
        <v>11</v>
      </c>
      <c r="U550" s="13" t="s">
        <v>12</v>
      </c>
      <c r="V550" s="3" t="s">
        <v>10</v>
      </c>
      <c r="W550" s="44">
        <f>'Kalkulace a Porovnání'!W550</f>
        <v>0</v>
      </c>
      <c r="X550" s="44">
        <f>'Kalkulace a Porovnání'!X550</f>
        <v>0</v>
      </c>
      <c r="Y550" s="44">
        <f>'Kalkulace a Porovnání'!Y550</f>
        <v>0</v>
      </c>
      <c r="Z550" s="44">
        <f>'Kalkulace a Porovnání'!Z550</f>
        <v>0</v>
      </c>
      <c r="AA550" s="44">
        <f>'Kalkulace a Porovnání'!AA550</f>
        <v>0</v>
      </c>
      <c r="AB550" s="30">
        <f>'Kalkulace a Porovnání'!AB550</f>
        <v>0</v>
      </c>
      <c r="AC550" s="146"/>
      <c r="AD550" s="428"/>
      <c r="AG550" s="252"/>
      <c r="AH550" s="252"/>
      <c r="AI550" s="252"/>
      <c r="AJ550" s="252"/>
      <c r="AK550" s="428"/>
      <c r="AL550" s="146"/>
    </row>
    <row r="551" spans="2:38" x14ac:dyDescent="0.25">
      <c r="B551" s="12" t="s">
        <v>13</v>
      </c>
      <c r="C551" s="12" t="s">
        <v>14</v>
      </c>
      <c r="D551" s="3" t="s">
        <v>10</v>
      </c>
      <c r="E551" s="44">
        <f>'Kalkulace a Porovnání'!E551</f>
        <v>0</v>
      </c>
      <c r="F551" s="44">
        <f>'Kalkulace a Porovnání'!F551</f>
        <v>0</v>
      </c>
      <c r="G551" s="44">
        <f>'Kalkulace a Porovnání'!G551</f>
        <v>0</v>
      </c>
      <c r="H551" s="30">
        <f>'Kalkulace a Porovnání'!H551</f>
        <v>0</v>
      </c>
      <c r="K551" s="12" t="s">
        <v>13</v>
      </c>
      <c r="L551" s="12" t="s">
        <v>14</v>
      </c>
      <c r="M551" s="3" t="s">
        <v>10</v>
      </c>
      <c r="N551" s="44">
        <f>'Kalkulace a Porovnání'!N551</f>
        <v>0</v>
      </c>
      <c r="O551" s="44">
        <f>'Kalkulace a Porovnání'!O551</f>
        <v>0</v>
      </c>
      <c r="P551" s="44">
        <f>'Kalkulace a Porovnání'!P551</f>
        <v>0</v>
      </c>
      <c r="Q551" s="30">
        <f>'Kalkulace a Porovnání'!Q551</f>
        <v>0</v>
      </c>
      <c r="T551" s="12" t="s">
        <v>13</v>
      </c>
      <c r="U551" s="12" t="s">
        <v>14</v>
      </c>
      <c r="V551" s="3" t="s">
        <v>10</v>
      </c>
      <c r="W551" s="44">
        <f>'Kalkulace a Porovnání'!W551</f>
        <v>0</v>
      </c>
      <c r="X551" s="44">
        <f>'Kalkulace a Porovnání'!X551</f>
        <v>0</v>
      </c>
      <c r="Y551" s="44">
        <f>'Kalkulace a Porovnání'!Y551</f>
        <v>0</v>
      </c>
      <c r="Z551" s="44">
        <f>'Kalkulace a Porovnání'!Z551</f>
        <v>0</v>
      </c>
      <c r="AA551" s="44">
        <f>'Kalkulace a Porovnání'!AA551</f>
        <v>0</v>
      </c>
      <c r="AB551" s="30">
        <f>'Kalkulace a Porovnání'!AB551</f>
        <v>0</v>
      </c>
      <c r="AC551" s="146"/>
      <c r="AD551" s="428"/>
      <c r="AG551" s="252"/>
      <c r="AH551" s="252"/>
      <c r="AI551" s="252"/>
      <c r="AJ551" s="252"/>
      <c r="AK551" s="428"/>
      <c r="AL551" s="146"/>
    </row>
    <row r="552" spans="2:38" x14ac:dyDescent="0.25">
      <c r="B552" s="12" t="s">
        <v>15</v>
      </c>
      <c r="C552" s="13" t="s">
        <v>16</v>
      </c>
      <c r="D552" s="3" t="s">
        <v>10</v>
      </c>
      <c r="E552" s="44">
        <f>'Kalkulace a Porovnání'!E552</f>
        <v>0</v>
      </c>
      <c r="F552" s="44">
        <f>'Kalkulace a Porovnání'!F552</f>
        <v>0</v>
      </c>
      <c r="G552" s="44">
        <f>'Kalkulace a Porovnání'!G552</f>
        <v>0</v>
      </c>
      <c r="H552" s="30">
        <f>'Kalkulace a Porovnání'!H552</f>
        <v>0</v>
      </c>
      <c r="K552" s="12" t="s">
        <v>15</v>
      </c>
      <c r="L552" s="13" t="s">
        <v>16</v>
      </c>
      <c r="M552" s="3" t="s">
        <v>10</v>
      </c>
      <c r="N552" s="44">
        <f>'Kalkulace a Porovnání'!N552</f>
        <v>0</v>
      </c>
      <c r="O552" s="44">
        <f>'Kalkulace a Porovnání'!O552</f>
        <v>0</v>
      </c>
      <c r="P552" s="44">
        <f>'Kalkulace a Porovnání'!P552</f>
        <v>0</v>
      </c>
      <c r="Q552" s="30">
        <f>'Kalkulace a Porovnání'!Q552</f>
        <v>0</v>
      </c>
      <c r="T552" s="12" t="s">
        <v>15</v>
      </c>
      <c r="U552" s="13" t="s">
        <v>16</v>
      </c>
      <c r="V552" s="3" t="s">
        <v>10</v>
      </c>
      <c r="W552" s="44">
        <f>'Kalkulace a Porovnání'!W552</f>
        <v>0</v>
      </c>
      <c r="X552" s="44">
        <f>'Kalkulace a Porovnání'!X552</f>
        <v>0</v>
      </c>
      <c r="Y552" s="44">
        <f>'Kalkulace a Porovnání'!Y552</f>
        <v>0</v>
      </c>
      <c r="Z552" s="44">
        <f>'Kalkulace a Porovnání'!Z552</f>
        <v>0</v>
      </c>
      <c r="AA552" s="44">
        <f>'Kalkulace a Porovnání'!AA552</f>
        <v>0</v>
      </c>
      <c r="AB552" s="30">
        <f>'Kalkulace a Porovnání'!AB552</f>
        <v>0</v>
      </c>
      <c r="AC552" s="146"/>
      <c r="AD552" s="428"/>
      <c r="AG552" s="252"/>
      <c r="AH552" s="252"/>
      <c r="AI552" s="252"/>
      <c r="AJ552" s="252"/>
      <c r="AK552" s="428"/>
      <c r="AL552" s="146"/>
    </row>
    <row r="553" spans="2:38" x14ac:dyDescent="0.25">
      <c r="B553" s="12" t="s">
        <v>17</v>
      </c>
      <c r="C553" s="13" t="s">
        <v>18</v>
      </c>
      <c r="D553" s="3" t="s">
        <v>10</v>
      </c>
      <c r="E553" s="44">
        <f>'Kalkulace a Porovnání'!E553</f>
        <v>0</v>
      </c>
      <c r="F553" s="44">
        <f>'Kalkulace a Porovnání'!F553</f>
        <v>0</v>
      </c>
      <c r="G553" s="44">
        <f>'Kalkulace a Porovnání'!G553</f>
        <v>0</v>
      </c>
      <c r="H553" s="30">
        <f>'Kalkulace a Porovnání'!H553</f>
        <v>0</v>
      </c>
      <c r="K553" s="12" t="s">
        <v>17</v>
      </c>
      <c r="L553" s="13" t="s">
        <v>18</v>
      </c>
      <c r="M553" s="3" t="s">
        <v>10</v>
      </c>
      <c r="N553" s="44">
        <f>'Kalkulace a Porovnání'!N553</f>
        <v>0</v>
      </c>
      <c r="O553" s="44">
        <f>'Kalkulace a Porovnání'!O553</f>
        <v>0</v>
      </c>
      <c r="P553" s="44">
        <f>'Kalkulace a Porovnání'!P553</f>
        <v>0</v>
      </c>
      <c r="Q553" s="30">
        <f>'Kalkulace a Porovnání'!Q553</f>
        <v>0</v>
      </c>
      <c r="T553" s="12" t="s">
        <v>17</v>
      </c>
      <c r="U553" s="13" t="s">
        <v>18</v>
      </c>
      <c r="V553" s="3" t="s">
        <v>10</v>
      </c>
      <c r="W553" s="44">
        <f>'Kalkulace a Porovnání'!W553</f>
        <v>0</v>
      </c>
      <c r="X553" s="44">
        <f>'Kalkulace a Porovnání'!X553</f>
        <v>0</v>
      </c>
      <c r="Y553" s="44">
        <f>'Kalkulace a Porovnání'!Y553</f>
        <v>0</v>
      </c>
      <c r="Z553" s="44">
        <f>'Kalkulace a Porovnání'!Z553</f>
        <v>0</v>
      </c>
      <c r="AA553" s="44">
        <f>'Kalkulace a Porovnání'!AA553</f>
        <v>0</v>
      </c>
      <c r="AB553" s="30">
        <f>'Kalkulace a Porovnání'!AB553</f>
        <v>0</v>
      </c>
      <c r="AC553" s="146"/>
      <c r="AD553" s="428"/>
      <c r="AG553" s="252"/>
      <c r="AH553" s="252"/>
      <c r="AI553" s="252"/>
      <c r="AJ553" s="252"/>
      <c r="AK553" s="428"/>
      <c r="AL553" s="146"/>
    </row>
    <row r="554" spans="2:38" x14ac:dyDescent="0.25">
      <c r="B554" s="9" t="s">
        <v>19</v>
      </c>
      <c r="C554" s="10" t="s">
        <v>20</v>
      </c>
      <c r="D554" s="11" t="s">
        <v>10</v>
      </c>
      <c r="E554" s="41">
        <f>'Kalkulace a Porovnání'!E554</f>
        <v>0</v>
      </c>
      <c r="F554" s="41">
        <f>'Kalkulace a Porovnání'!F554</f>
        <v>0</v>
      </c>
      <c r="G554" s="41">
        <f>'Kalkulace a Porovnání'!G554</f>
        <v>0</v>
      </c>
      <c r="H554" s="86">
        <f>'Kalkulace a Porovnání'!H554</f>
        <v>0</v>
      </c>
      <c r="K554" s="9" t="s">
        <v>19</v>
      </c>
      <c r="L554" s="10" t="s">
        <v>20</v>
      </c>
      <c r="M554" s="11" t="s">
        <v>10</v>
      </c>
      <c r="N554" s="41">
        <f>'Kalkulace a Porovnání'!N554</f>
        <v>0</v>
      </c>
      <c r="O554" s="41">
        <f>'Kalkulace a Porovnání'!O554</f>
        <v>0</v>
      </c>
      <c r="P554" s="41">
        <f>'Kalkulace a Porovnání'!P554</f>
        <v>0</v>
      </c>
      <c r="Q554" s="86">
        <f>'Kalkulace a Porovnání'!Q554</f>
        <v>0</v>
      </c>
      <c r="T554" s="9" t="s">
        <v>19</v>
      </c>
      <c r="U554" s="10" t="s">
        <v>20</v>
      </c>
      <c r="V554" s="11" t="s">
        <v>10</v>
      </c>
      <c r="W554" s="41">
        <f>'Kalkulace a Porovnání'!W554</f>
        <v>0</v>
      </c>
      <c r="X554" s="41">
        <f>'Kalkulace a Porovnání'!X554</f>
        <v>0</v>
      </c>
      <c r="Y554" s="41">
        <f>'Kalkulace a Porovnání'!Y554</f>
        <v>0</v>
      </c>
      <c r="Z554" s="41">
        <f>'Kalkulace a Porovnání'!Z554</f>
        <v>0</v>
      </c>
      <c r="AA554" s="41">
        <f>'Kalkulace a Porovnání'!AA554</f>
        <v>0</v>
      </c>
      <c r="AB554" s="86">
        <f>'Kalkulace a Porovnání'!AB554</f>
        <v>0</v>
      </c>
      <c r="AC554" s="146"/>
      <c r="AD554" s="428"/>
      <c r="AG554" s="252"/>
      <c r="AH554" s="252"/>
      <c r="AI554" s="252"/>
      <c r="AJ554" s="252"/>
      <c r="AK554" s="428"/>
      <c r="AL554" s="146"/>
    </row>
    <row r="555" spans="2:38" x14ac:dyDescent="0.25">
      <c r="B555" s="12" t="s">
        <v>21</v>
      </c>
      <c r="C555" s="12" t="s">
        <v>22</v>
      </c>
      <c r="D555" s="3" t="s">
        <v>10</v>
      </c>
      <c r="E555" s="44">
        <f>'Kalkulace a Porovnání'!E555</f>
        <v>0</v>
      </c>
      <c r="F555" s="44">
        <f>'Kalkulace a Porovnání'!F555</f>
        <v>0</v>
      </c>
      <c r="G555" s="44">
        <f>'Kalkulace a Porovnání'!G555</f>
        <v>0</v>
      </c>
      <c r="H555" s="30">
        <f>'Kalkulace a Porovnání'!H555</f>
        <v>0</v>
      </c>
      <c r="K555" s="12" t="s">
        <v>21</v>
      </c>
      <c r="L555" s="12" t="s">
        <v>22</v>
      </c>
      <c r="M555" s="3" t="s">
        <v>10</v>
      </c>
      <c r="N555" s="44">
        <f>'Kalkulace a Porovnání'!N555</f>
        <v>0</v>
      </c>
      <c r="O555" s="44">
        <f>'Kalkulace a Porovnání'!O555</f>
        <v>0</v>
      </c>
      <c r="P555" s="44">
        <f>'Kalkulace a Porovnání'!P555</f>
        <v>0</v>
      </c>
      <c r="Q555" s="30">
        <f>'Kalkulace a Porovnání'!Q555</f>
        <v>0</v>
      </c>
      <c r="T555" s="12" t="s">
        <v>21</v>
      </c>
      <c r="U555" s="12" t="s">
        <v>22</v>
      </c>
      <c r="V555" s="3" t="s">
        <v>10</v>
      </c>
      <c r="W555" s="44">
        <f>'Kalkulace a Porovnání'!W555</f>
        <v>0</v>
      </c>
      <c r="X555" s="44">
        <f>'Kalkulace a Porovnání'!X555</f>
        <v>0</v>
      </c>
      <c r="Y555" s="44">
        <f>'Kalkulace a Porovnání'!Y555</f>
        <v>0</v>
      </c>
      <c r="Z555" s="44">
        <f>'Kalkulace a Porovnání'!Z555</f>
        <v>0</v>
      </c>
      <c r="AA555" s="44">
        <f>'Kalkulace a Porovnání'!AA555</f>
        <v>0</v>
      </c>
      <c r="AB555" s="30">
        <f>'Kalkulace a Porovnání'!AB555</f>
        <v>0</v>
      </c>
      <c r="AC555" s="146"/>
      <c r="AD555" s="428"/>
      <c r="AG555" s="252"/>
      <c r="AH555" s="252"/>
      <c r="AI555" s="252"/>
      <c r="AJ555" s="252"/>
      <c r="AK555" s="428"/>
      <c r="AL555" s="146"/>
    </row>
    <row r="556" spans="2:38" x14ac:dyDescent="0.25">
      <c r="B556" s="12" t="s">
        <v>23</v>
      </c>
      <c r="C556" s="12" t="s">
        <v>24</v>
      </c>
      <c r="D556" s="3" t="s">
        <v>10</v>
      </c>
      <c r="E556" s="44">
        <f>'Kalkulace a Porovnání'!E556</f>
        <v>0</v>
      </c>
      <c r="F556" s="44">
        <f>'Kalkulace a Porovnání'!F556</f>
        <v>0</v>
      </c>
      <c r="G556" s="44">
        <f>'Kalkulace a Porovnání'!G556</f>
        <v>0</v>
      </c>
      <c r="H556" s="30">
        <f>'Kalkulace a Porovnání'!H556</f>
        <v>0</v>
      </c>
      <c r="K556" s="12" t="s">
        <v>23</v>
      </c>
      <c r="L556" s="12" t="s">
        <v>24</v>
      </c>
      <c r="M556" s="3" t="s">
        <v>10</v>
      </c>
      <c r="N556" s="44">
        <f>'Kalkulace a Porovnání'!N556</f>
        <v>0</v>
      </c>
      <c r="O556" s="44">
        <f>'Kalkulace a Porovnání'!O556</f>
        <v>0</v>
      </c>
      <c r="P556" s="44">
        <f>'Kalkulace a Porovnání'!P556</f>
        <v>0</v>
      </c>
      <c r="Q556" s="30">
        <f>'Kalkulace a Porovnání'!Q556</f>
        <v>0</v>
      </c>
      <c r="T556" s="12" t="s">
        <v>23</v>
      </c>
      <c r="U556" s="12" t="s">
        <v>24</v>
      </c>
      <c r="V556" s="3" t="s">
        <v>10</v>
      </c>
      <c r="W556" s="44">
        <f>'Kalkulace a Porovnání'!W556</f>
        <v>0</v>
      </c>
      <c r="X556" s="44">
        <f>'Kalkulace a Porovnání'!X556</f>
        <v>0</v>
      </c>
      <c r="Y556" s="44">
        <f>'Kalkulace a Porovnání'!Y556</f>
        <v>0</v>
      </c>
      <c r="Z556" s="44">
        <f>'Kalkulace a Porovnání'!Z556</f>
        <v>0</v>
      </c>
      <c r="AA556" s="44">
        <f>'Kalkulace a Porovnání'!AA556</f>
        <v>0</v>
      </c>
      <c r="AB556" s="30">
        <f>'Kalkulace a Porovnání'!AB556</f>
        <v>0</v>
      </c>
      <c r="AC556" s="146"/>
      <c r="AD556" s="428"/>
      <c r="AG556" s="252"/>
      <c r="AH556" s="252"/>
      <c r="AI556" s="252"/>
      <c r="AJ556" s="252"/>
      <c r="AK556" s="428"/>
      <c r="AL556" s="146"/>
    </row>
    <row r="557" spans="2:38" x14ac:dyDescent="0.25">
      <c r="B557" s="9" t="s">
        <v>25</v>
      </c>
      <c r="C557" s="10" t="s">
        <v>400</v>
      </c>
      <c r="D557" s="11" t="s">
        <v>10</v>
      </c>
      <c r="E557" s="41">
        <f>'Kalkulace a Porovnání'!E557</f>
        <v>0</v>
      </c>
      <c r="F557" s="41">
        <f>'Kalkulace a Porovnání'!F557</f>
        <v>0</v>
      </c>
      <c r="G557" s="41">
        <f>'Kalkulace a Porovnání'!G557</f>
        <v>0</v>
      </c>
      <c r="H557" s="86">
        <f>'Kalkulace a Porovnání'!H557</f>
        <v>0</v>
      </c>
      <c r="K557" s="9" t="s">
        <v>25</v>
      </c>
      <c r="L557" s="10" t="s">
        <v>400</v>
      </c>
      <c r="M557" s="11" t="s">
        <v>10</v>
      </c>
      <c r="N557" s="41">
        <f>'Kalkulace a Porovnání'!N557</f>
        <v>0</v>
      </c>
      <c r="O557" s="41">
        <f>'Kalkulace a Porovnání'!O557</f>
        <v>0</v>
      </c>
      <c r="P557" s="41">
        <f>'Kalkulace a Porovnání'!P557</f>
        <v>0</v>
      </c>
      <c r="Q557" s="86">
        <f>'Kalkulace a Porovnání'!Q557</f>
        <v>0</v>
      </c>
      <c r="T557" s="9" t="s">
        <v>25</v>
      </c>
      <c r="U557" s="10" t="s">
        <v>400</v>
      </c>
      <c r="V557" s="11" t="s">
        <v>10</v>
      </c>
      <c r="W557" s="41">
        <f>'Kalkulace a Porovnání'!W557</f>
        <v>0</v>
      </c>
      <c r="X557" s="41">
        <f>'Kalkulace a Porovnání'!X557</f>
        <v>0</v>
      </c>
      <c r="Y557" s="41">
        <f>'Kalkulace a Porovnání'!Y557</f>
        <v>0</v>
      </c>
      <c r="Z557" s="41">
        <f>'Kalkulace a Porovnání'!Z557</f>
        <v>0</v>
      </c>
      <c r="AA557" s="41">
        <f>'Kalkulace a Porovnání'!AA557</f>
        <v>0</v>
      </c>
      <c r="AB557" s="86">
        <f>'Kalkulace a Porovnání'!AB557</f>
        <v>0</v>
      </c>
      <c r="AC557" s="146"/>
      <c r="AD557" s="428"/>
      <c r="AG557" s="252"/>
      <c r="AH557" s="252"/>
      <c r="AI557" s="252"/>
      <c r="AJ557" s="252"/>
      <c r="AK557" s="428"/>
      <c r="AL557" s="146"/>
    </row>
    <row r="558" spans="2:38" x14ac:dyDescent="0.25">
      <c r="B558" s="12" t="s">
        <v>26</v>
      </c>
      <c r="C558" s="13" t="s">
        <v>390</v>
      </c>
      <c r="D558" s="3" t="s">
        <v>10</v>
      </c>
      <c r="E558" s="44">
        <f>'Kalkulace a Porovnání'!E558</f>
        <v>0</v>
      </c>
      <c r="F558" s="44">
        <f>'Kalkulace a Porovnání'!F558</f>
        <v>0</v>
      </c>
      <c r="G558" s="44">
        <f>'Kalkulace a Porovnání'!G558</f>
        <v>0</v>
      </c>
      <c r="H558" s="30">
        <f>'Kalkulace a Porovnání'!H558</f>
        <v>0</v>
      </c>
      <c r="K558" s="12" t="s">
        <v>26</v>
      </c>
      <c r="L558" s="13" t="s">
        <v>390</v>
      </c>
      <c r="M558" s="3" t="s">
        <v>10</v>
      </c>
      <c r="N558" s="44">
        <f>'Kalkulace a Porovnání'!N558</f>
        <v>0</v>
      </c>
      <c r="O558" s="44">
        <f>'Kalkulace a Porovnání'!O558</f>
        <v>0</v>
      </c>
      <c r="P558" s="44">
        <f>'Kalkulace a Porovnání'!P558</f>
        <v>0</v>
      </c>
      <c r="Q558" s="30">
        <f>'Kalkulace a Porovnání'!Q558</f>
        <v>0</v>
      </c>
      <c r="T558" s="12" t="s">
        <v>26</v>
      </c>
      <c r="U558" s="13" t="s">
        <v>390</v>
      </c>
      <c r="V558" s="3" t="s">
        <v>10</v>
      </c>
      <c r="W558" s="44">
        <f>'Kalkulace a Porovnání'!W558</f>
        <v>0</v>
      </c>
      <c r="X558" s="44">
        <f>'Kalkulace a Porovnání'!X558</f>
        <v>0</v>
      </c>
      <c r="Y558" s="44">
        <f>'Kalkulace a Porovnání'!Y558</f>
        <v>0</v>
      </c>
      <c r="Z558" s="44">
        <f>'Kalkulace a Porovnání'!Z558</f>
        <v>0</v>
      </c>
      <c r="AA558" s="44">
        <f>'Kalkulace a Porovnání'!AA558</f>
        <v>0</v>
      </c>
      <c r="AB558" s="30">
        <f>'Kalkulace a Porovnání'!AB558</f>
        <v>0</v>
      </c>
      <c r="AC558" s="146"/>
      <c r="AD558" s="428"/>
      <c r="AG558" s="252"/>
      <c r="AH558" s="252"/>
      <c r="AI558" s="252"/>
      <c r="AJ558" s="252"/>
      <c r="AK558" s="428"/>
      <c r="AL558" s="146"/>
    </row>
    <row r="559" spans="2:38" x14ac:dyDescent="0.25">
      <c r="B559" s="12" t="s">
        <v>27</v>
      </c>
      <c r="C559" s="13" t="s">
        <v>401</v>
      </c>
      <c r="D559" s="3" t="s">
        <v>10</v>
      </c>
      <c r="E559" s="44">
        <f>'Kalkulace a Porovnání'!E559</f>
        <v>0</v>
      </c>
      <c r="F559" s="44">
        <f>'Kalkulace a Porovnání'!F559</f>
        <v>0</v>
      </c>
      <c r="G559" s="44">
        <f>'Kalkulace a Porovnání'!G559</f>
        <v>0</v>
      </c>
      <c r="H559" s="30">
        <f>'Kalkulace a Porovnání'!H559</f>
        <v>0</v>
      </c>
      <c r="K559" s="12" t="s">
        <v>27</v>
      </c>
      <c r="L559" s="13" t="s">
        <v>401</v>
      </c>
      <c r="M559" s="3" t="s">
        <v>10</v>
      </c>
      <c r="N559" s="44">
        <f>'Kalkulace a Porovnání'!N559</f>
        <v>0</v>
      </c>
      <c r="O559" s="44">
        <f>'Kalkulace a Porovnání'!O559</f>
        <v>0</v>
      </c>
      <c r="P559" s="44">
        <f>'Kalkulace a Porovnání'!P559</f>
        <v>0</v>
      </c>
      <c r="Q559" s="30">
        <f>'Kalkulace a Porovnání'!Q559</f>
        <v>0</v>
      </c>
      <c r="T559" s="12" t="s">
        <v>27</v>
      </c>
      <c r="U559" s="13" t="s">
        <v>401</v>
      </c>
      <c r="V559" s="3" t="s">
        <v>10</v>
      </c>
      <c r="W559" s="44">
        <f>'Kalkulace a Porovnání'!W559</f>
        <v>0</v>
      </c>
      <c r="X559" s="44">
        <f>'Kalkulace a Porovnání'!X559</f>
        <v>0</v>
      </c>
      <c r="Y559" s="44">
        <f>'Kalkulace a Porovnání'!Y559</f>
        <v>0</v>
      </c>
      <c r="Z559" s="44">
        <f>'Kalkulace a Porovnání'!Z559</f>
        <v>0</v>
      </c>
      <c r="AA559" s="44">
        <f>'Kalkulace a Porovnání'!AA559</f>
        <v>0</v>
      </c>
      <c r="AB559" s="30">
        <f>'Kalkulace a Porovnání'!AB559</f>
        <v>0</v>
      </c>
      <c r="AC559" s="146"/>
      <c r="AD559" s="428"/>
      <c r="AG559" s="252"/>
      <c r="AH559" s="252"/>
      <c r="AI559" s="252"/>
      <c r="AJ559" s="252"/>
      <c r="AK559" s="428"/>
      <c r="AL559" s="146"/>
    </row>
    <row r="560" spans="2:38" x14ac:dyDescent="0.25">
      <c r="B560" s="9" t="s">
        <v>28</v>
      </c>
      <c r="C560" s="10" t="s">
        <v>29</v>
      </c>
      <c r="D560" s="11" t="s">
        <v>10</v>
      </c>
      <c r="E560" s="41">
        <f>'Kalkulace a Porovnání'!E560</f>
        <v>0</v>
      </c>
      <c r="F560" s="41">
        <f>'Kalkulace a Porovnání'!F560</f>
        <v>0</v>
      </c>
      <c r="G560" s="41">
        <f>'Kalkulace a Porovnání'!G560</f>
        <v>0</v>
      </c>
      <c r="H560" s="86">
        <f>'Kalkulace a Porovnání'!H560</f>
        <v>0</v>
      </c>
      <c r="K560" s="9" t="s">
        <v>28</v>
      </c>
      <c r="L560" s="10" t="s">
        <v>29</v>
      </c>
      <c r="M560" s="11" t="s">
        <v>10</v>
      </c>
      <c r="N560" s="41">
        <f>'Kalkulace a Porovnání'!N560</f>
        <v>0</v>
      </c>
      <c r="O560" s="41">
        <f>'Kalkulace a Porovnání'!O560</f>
        <v>0</v>
      </c>
      <c r="P560" s="41">
        <f>'Kalkulace a Porovnání'!P560</f>
        <v>0</v>
      </c>
      <c r="Q560" s="86">
        <f>'Kalkulace a Porovnání'!Q560</f>
        <v>0</v>
      </c>
      <c r="T560" s="9" t="s">
        <v>28</v>
      </c>
      <c r="U560" s="10" t="s">
        <v>29</v>
      </c>
      <c r="V560" s="11" t="s">
        <v>10</v>
      </c>
      <c r="W560" s="41">
        <f>'Kalkulace a Porovnání'!W560</f>
        <v>0</v>
      </c>
      <c r="X560" s="41">
        <f>'Kalkulace a Porovnání'!X560</f>
        <v>0</v>
      </c>
      <c r="Y560" s="41">
        <f>'Kalkulace a Porovnání'!Y560</f>
        <v>0</v>
      </c>
      <c r="Z560" s="41">
        <f>'Kalkulace a Porovnání'!Z560</f>
        <v>0</v>
      </c>
      <c r="AA560" s="41">
        <f>'Kalkulace a Porovnání'!AA560</f>
        <v>0</v>
      </c>
      <c r="AB560" s="86">
        <f>'Kalkulace a Porovnání'!AB560</f>
        <v>0</v>
      </c>
      <c r="AC560" s="146"/>
      <c r="AD560" s="428"/>
      <c r="AG560" s="252"/>
      <c r="AH560" s="252"/>
      <c r="AI560" s="252"/>
      <c r="AJ560" s="252"/>
      <c r="AK560" s="428"/>
      <c r="AL560" s="146"/>
    </row>
    <row r="561" spans="2:38" x14ac:dyDescent="0.25">
      <c r="B561" s="12" t="s">
        <v>30</v>
      </c>
      <c r="C561" s="21" t="s">
        <v>381</v>
      </c>
      <c r="D561" s="3" t="s">
        <v>10</v>
      </c>
      <c r="E561" s="44">
        <f>'Kalkulace a Porovnání'!E561</f>
        <v>0</v>
      </c>
      <c r="F561" s="44">
        <f>'Kalkulace a Porovnání'!F561</f>
        <v>0</v>
      </c>
      <c r="G561" s="44">
        <f>'Kalkulace a Porovnání'!G561</f>
        <v>0</v>
      </c>
      <c r="H561" s="30">
        <f>'Kalkulace a Porovnání'!H561</f>
        <v>0</v>
      </c>
      <c r="K561" s="12" t="s">
        <v>30</v>
      </c>
      <c r="L561" s="21" t="s">
        <v>381</v>
      </c>
      <c r="M561" s="3" t="s">
        <v>10</v>
      </c>
      <c r="N561" s="44">
        <f>'Kalkulace a Porovnání'!N561</f>
        <v>0</v>
      </c>
      <c r="O561" s="44">
        <f>'Kalkulace a Porovnání'!O561</f>
        <v>0</v>
      </c>
      <c r="P561" s="44">
        <f>'Kalkulace a Porovnání'!P561</f>
        <v>0</v>
      </c>
      <c r="Q561" s="30">
        <f>'Kalkulace a Porovnání'!Q561</f>
        <v>0</v>
      </c>
      <c r="T561" s="12" t="s">
        <v>30</v>
      </c>
      <c r="U561" s="21" t="s">
        <v>381</v>
      </c>
      <c r="V561" s="3" t="s">
        <v>10</v>
      </c>
      <c r="W561" s="44">
        <f>'Kalkulace a Porovnání'!W561</f>
        <v>0</v>
      </c>
      <c r="X561" s="44">
        <f>'Kalkulace a Porovnání'!X561</f>
        <v>0</v>
      </c>
      <c r="Y561" s="44">
        <f>'Kalkulace a Porovnání'!Y561</f>
        <v>0</v>
      </c>
      <c r="Z561" s="44">
        <f>'Kalkulace a Porovnání'!Z561</f>
        <v>0</v>
      </c>
      <c r="AA561" s="44">
        <f>'Kalkulace a Porovnání'!AA561</f>
        <v>0</v>
      </c>
      <c r="AB561" s="30">
        <f>'Kalkulace a Porovnání'!AB561</f>
        <v>0</v>
      </c>
      <c r="AC561" s="146"/>
      <c r="AD561" s="428"/>
      <c r="AG561" s="428"/>
      <c r="AH561" s="428"/>
      <c r="AI561" s="252"/>
      <c r="AJ561" s="252"/>
      <c r="AK561" s="428"/>
      <c r="AL561" s="146"/>
    </row>
    <row r="562" spans="2:38" x14ac:dyDescent="0.25">
      <c r="B562" s="12" t="s">
        <v>32</v>
      </c>
      <c r="C562" s="13" t="s">
        <v>383</v>
      </c>
      <c r="D562" s="3" t="s">
        <v>10</v>
      </c>
      <c r="E562" s="44">
        <f>'Kalkulace a Porovnání'!E562</f>
        <v>0</v>
      </c>
      <c r="F562" s="44">
        <f>'Kalkulace a Porovnání'!F562</f>
        <v>0</v>
      </c>
      <c r="G562" s="44">
        <f>'Kalkulace a Porovnání'!G562</f>
        <v>0</v>
      </c>
      <c r="H562" s="30">
        <f>'Kalkulace a Porovnání'!H562</f>
        <v>0</v>
      </c>
      <c r="K562" s="12" t="s">
        <v>32</v>
      </c>
      <c r="L562" s="13" t="s">
        <v>383</v>
      </c>
      <c r="M562" s="3" t="s">
        <v>10</v>
      </c>
      <c r="N562" s="44">
        <f>'Kalkulace a Porovnání'!N562</f>
        <v>0</v>
      </c>
      <c r="O562" s="44">
        <f>'Kalkulace a Porovnání'!O562</f>
        <v>0</v>
      </c>
      <c r="P562" s="44">
        <f>'Kalkulace a Porovnání'!P562</f>
        <v>0</v>
      </c>
      <c r="Q562" s="30">
        <f>'Kalkulace a Porovnání'!Q562</f>
        <v>0</v>
      </c>
      <c r="T562" s="12" t="s">
        <v>32</v>
      </c>
      <c r="U562" s="13" t="s">
        <v>383</v>
      </c>
      <c r="V562" s="3" t="s">
        <v>10</v>
      </c>
      <c r="W562" s="44">
        <f>'Kalkulace a Porovnání'!W562</f>
        <v>0</v>
      </c>
      <c r="X562" s="44">
        <f>'Kalkulace a Porovnání'!X562</f>
        <v>0</v>
      </c>
      <c r="Y562" s="44">
        <f>'Kalkulace a Porovnání'!Y562</f>
        <v>0</v>
      </c>
      <c r="Z562" s="44">
        <f>'Kalkulace a Porovnání'!Z562</f>
        <v>0</v>
      </c>
      <c r="AA562" s="44">
        <f>'Kalkulace a Porovnání'!AA562</f>
        <v>0</v>
      </c>
      <c r="AB562" s="30">
        <f>'Kalkulace a Porovnání'!AB562</f>
        <v>0</v>
      </c>
      <c r="AC562" s="146"/>
      <c r="AD562" s="428"/>
      <c r="AG562" s="428"/>
      <c r="AH562" s="428"/>
      <c r="AI562" s="252"/>
      <c r="AJ562" s="252"/>
      <c r="AK562" s="428"/>
      <c r="AL562" s="146"/>
    </row>
    <row r="563" spans="2:38" x14ac:dyDescent="0.25">
      <c r="B563" s="12" t="s">
        <v>33</v>
      </c>
      <c r="C563" s="13" t="s">
        <v>382</v>
      </c>
      <c r="D563" s="3" t="s">
        <v>10</v>
      </c>
      <c r="E563" s="44">
        <f>'Kalkulace a Porovnání'!E563</f>
        <v>0</v>
      </c>
      <c r="F563" s="44">
        <f>'Kalkulace a Porovnání'!F563</f>
        <v>0</v>
      </c>
      <c r="G563" s="44">
        <f>'Kalkulace a Porovnání'!G563</f>
        <v>0</v>
      </c>
      <c r="H563" s="30">
        <f>'Kalkulace a Porovnání'!H563</f>
        <v>0</v>
      </c>
      <c r="K563" s="12" t="s">
        <v>33</v>
      </c>
      <c r="L563" s="13" t="s">
        <v>382</v>
      </c>
      <c r="M563" s="3" t="s">
        <v>10</v>
      </c>
      <c r="N563" s="44">
        <f>'Kalkulace a Porovnání'!N563</f>
        <v>0</v>
      </c>
      <c r="O563" s="44">
        <f>'Kalkulace a Porovnání'!O563</f>
        <v>0</v>
      </c>
      <c r="P563" s="44">
        <f>'Kalkulace a Porovnání'!P563</f>
        <v>0</v>
      </c>
      <c r="Q563" s="30">
        <f>'Kalkulace a Porovnání'!Q563</f>
        <v>0</v>
      </c>
      <c r="T563" s="12" t="s">
        <v>33</v>
      </c>
      <c r="U563" s="13" t="s">
        <v>382</v>
      </c>
      <c r="V563" s="3" t="s">
        <v>10</v>
      </c>
      <c r="W563" s="44">
        <f>'Kalkulace a Porovnání'!W563</f>
        <v>0</v>
      </c>
      <c r="X563" s="44">
        <f>'Kalkulace a Porovnání'!X563</f>
        <v>0</v>
      </c>
      <c r="Y563" s="44">
        <f>'Kalkulace a Porovnání'!Y563</f>
        <v>0</v>
      </c>
      <c r="Z563" s="44">
        <f>'Kalkulace a Porovnání'!Z563</f>
        <v>0</v>
      </c>
      <c r="AA563" s="44">
        <f>'Kalkulace a Porovnání'!AA563</f>
        <v>0</v>
      </c>
      <c r="AB563" s="30">
        <f>'Kalkulace a Porovnání'!AB563</f>
        <v>0</v>
      </c>
      <c r="AC563" s="146"/>
      <c r="AD563" s="428"/>
      <c r="AG563" s="252"/>
      <c r="AH563" s="252"/>
      <c r="AI563" s="252"/>
      <c r="AJ563" s="252"/>
      <c r="AK563" s="428"/>
      <c r="AL563" s="146"/>
    </row>
    <row r="564" spans="2:38" x14ac:dyDescent="0.25">
      <c r="B564" s="12" t="s">
        <v>34</v>
      </c>
      <c r="C564" s="21" t="s">
        <v>384</v>
      </c>
      <c r="D564" s="3" t="s">
        <v>10</v>
      </c>
      <c r="E564" s="44">
        <f>'Kalkulace a Porovnání'!E564</f>
        <v>0</v>
      </c>
      <c r="F564" s="44">
        <f>'Kalkulace a Porovnání'!F564</f>
        <v>0</v>
      </c>
      <c r="G564" s="44">
        <f>'Kalkulace a Porovnání'!G564</f>
        <v>0</v>
      </c>
      <c r="H564" s="30">
        <f>'Kalkulace a Porovnání'!H564</f>
        <v>0</v>
      </c>
      <c r="K564" s="12" t="s">
        <v>34</v>
      </c>
      <c r="L564" s="21" t="s">
        <v>384</v>
      </c>
      <c r="M564" s="3" t="s">
        <v>10</v>
      </c>
      <c r="N564" s="44">
        <f>'Kalkulace a Porovnání'!N564</f>
        <v>0</v>
      </c>
      <c r="O564" s="44">
        <f>'Kalkulace a Porovnání'!O564</f>
        <v>0</v>
      </c>
      <c r="P564" s="44">
        <f>'Kalkulace a Porovnání'!P564</f>
        <v>0</v>
      </c>
      <c r="Q564" s="30">
        <f>'Kalkulace a Porovnání'!Q564</f>
        <v>0</v>
      </c>
      <c r="T564" s="12" t="s">
        <v>34</v>
      </c>
      <c r="U564" s="21" t="s">
        <v>384</v>
      </c>
      <c r="V564" s="3" t="s">
        <v>10</v>
      </c>
      <c r="W564" s="44">
        <f>'Kalkulace a Porovnání'!W564</f>
        <v>0</v>
      </c>
      <c r="X564" s="44">
        <f>'Kalkulace a Porovnání'!X564</f>
        <v>0</v>
      </c>
      <c r="Y564" s="44">
        <f>'Kalkulace a Porovnání'!Y564</f>
        <v>0</v>
      </c>
      <c r="Z564" s="44">
        <f>'Kalkulace a Porovnání'!Z564</f>
        <v>0</v>
      </c>
      <c r="AA564" s="44">
        <f>'Kalkulace a Porovnání'!AA564</f>
        <v>0</v>
      </c>
      <c r="AB564" s="30">
        <f>'Kalkulace a Porovnání'!AB564</f>
        <v>0</v>
      </c>
      <c r="AC564" s="146"/>
      <c r="AD564" s="428"/>
      <c r="AG564" s="252"/>
      <c r="AH564" s="252"/>
      <c r="AI564" s="252"/>
      <c r="AJ564" s="252"/>
      <c r="AK564" s="428"/>
      <c r="AL564" s="146"/>
    </row>
    <row r="565" spans="2:38" x14ac:dyDescent="0.25">
      <c r="B565" s="9" t="s">
        <v>35</v>
      </c>
      <c r="C565" s="10" t="s">
        <v>387</v>
      </c>
      <c r="D565" s="11" t="s">
        <v>10</v>
      </c>
      <c r="E565" s="41">
        <f>'Kalkulace a Porovnání'!E565</f>
        <v>0</v>
      </c>
      <c r="F565" s="41">
        <f>'Kalkulace a Porovnání'!F565</f>
        <v>0</v>
      </c>
      <c r="G565" s="41">
        <f>'Kalkulace a Porovnání'!G565</f>
        <v>0</v>
      </c>
      <c r="H565" s="86">
        <f>'Kalkulace a Porovnání'!H565</f>
        <v>0</v>
      </c>
      <c r="K565" s="9" t="s">
        <v>35</v>
      </c>
      <c r="L565" s="10" t="s">
        <v>387</v>
      </c>
      <c r="M565" s="11" t="s">
        <v>10</v>
      </c>
      <c r="N565" s="41">
        <f>'Kalkulace a Porovnání'!N565</f>
        <v>0</v>
      </c>
      <c r="O565" s="41">
        <f>'Kalkulace a Porovnání'!O565</f>
        <v>0</v>
      </c>
      <c r="P565" s="41">
        <f>'Kalkulace a Porovnání'!P565</f>
        <v>0</v>
      </c>
      <c r="Q565" s="86">
        <f>'Kalkulace a Porovnání'!Q565</f>
        <v>0</v>
      </c>
      <c r="T565" s="9" t="s">
        <v>35</v>
      </c>
      <c r="U565" s="10" t="s">
        <v>387</v>
      </c>
      <c r="V565" s="11" t="s">
        <v>10</v>
      </c>
      <c r="W565" s="41">
        <f>'Kalkulace a Porovnání'!W565</f>
        <v>0</v>
      </c>
      <c r="X565" s="41">
        <f>'Kalkulace a Porovnání'!X565</f>
        <v>0</v>
      </c>
      <c r="Y565" s="41">
        <f>'Kalkulace a Porovnání'!Y565</f>
        <v>0</v>
      </c>
      <c r="Z565" s="41">
        <f>'Kalkulace a Porovnání'!Z565</f>
        <v>0</v>
      </c>
      <c r="AA565" s="41">
        <f>'Kalkulace a Porovnání'!AA565</f>
        <v>0</v>
      </c>
      <c r="AB565" s="86">
        <f>'Kalkulace a Porovnání'!AB565</f>
        <v>0</v>
      </c>
      <c r="AC565" s="146"/>
      <c r="AD565" s="428"/>
      <c r="AG565" s="429"/>
      <c r="AH565" s="429"/>
      <c r="AI565" s="252"/>
      <c r="AJ565" s="252"/>
      <c r="AK565" s="428"/>
      <c r="AL565" s="146"/>
    </row>
    <row r="566" spans="2:38" x14ac:dyDescent="0.25">
      <c r="B566" s="12" t="s">
        <v>37</v>
      </c>
      <c r="C566" s="13" t="s">
        <v>38</v>
      </c>
      <c r="D566" s="3" t="s">
        <v>10</v>
      </c>
      <c r="E566" s="44">
        <f>'Kalkulace a Porovnání'!E566</f>
        <v>0</v>
      </c>
      <c r="F566" s="44">
        <f>'Kalkulace a Porovnání'!F566</f>
        <v>0</v>
      </c>
      <c r="G566" s="44">
        <f>'Kalkulace a Porovnání'!G566</f>
        <v>0</v>
      </c>
      <c r="H566" s="30">
        <f>'Kalkulace a Porovnání'!H566</f>
        <v>0</v>
      </c>
      <c r="K566" s="12" t="s">
        <v>37</v>
      </c>
      <c r="L566" s="13" t="s">
        <v>38</v>
      </c>
      <c r="M566" s="3" t="s">
        <v>10</v>
      </c>
      <c r="N566" s="44">
        <f>'Kalkulace a Porovnání'!N566</f>
        <v>0</v>
      </c>
      <c r="O566" s="44">
        <f>'Kalkulace a Porovnání'!O566</f>
        <v>0</v>
      </c>
      <c r="P566" s="44">
        <f>'Kalkulace a Porovnání'!P566</f>
        <v>0</v>
      </c>
      <c r="Q566" s="30">
        <f>'Kalkulace a Porovnání'!Q566</f>
        <v>0</v>
      </c>
      <c r="T566" s="12" t="s">
        <v>37</v>
      </c>
      <c r="U566" s="13" t="s">
        <v>38</v>
      </c>
      <c r="V566" s="3" t="s">
        <v>10</v>
      </c>
      <c r="W566" s="44">
        <f>'Kalkulace a Porovnání'!W566</f>
        <v>0</v>
      </c>
      <c r="X566" s="44">
        <f>'Kalkulace a Porovnání'!X566</f>
        <v>0</v>
      </c>
      <c r="Y566" s="44">
        <f>'Kalkulace a Porovnání'!Y566</f>
        <v>0</v>
      </c>
      <c r="Z566" s="44">
        <f>'Kalkulace a Porovnání'!Z566</f>
        <v>0</v>
      </c>
      <c r="AA566" s="44">
        <f>'Kalkulace a Porovnání'!AA566</f>
        <v>0</v>
      </c>
      <c r="AB566" s="30">
        <f>'Kalkulace a Porovnání'!AB566</f>
        <v>0</v>
      </c>
      <c r="AC566" s="146"/>
      <c r="AD566" s="428"/>
      <c r="AG566" s="1119"/>
      <c r="AH566" s="1119"/>
      <c r="AI566" s="252"/>
      <c r="AJ566" s="252"/>
      <c r="AK566" s="428"/>
      <c r="AL566" s="146"/>
    </row>
    <row r="567" spans="2:38" x14ac:dyDescent="0.25">
      <c r="B567" s="12" t="s">
        <v>39</v>
      </c>
      <c r="C567" s="12" t="s">
        <v>40</v>
      </c>
      <c r="D567" s="3" t="s">
        <v>10</v>
      </c>
      <c r="E567" s="44">
        <f>'Kalkulace a Porovnání'!E567</f>
        <v>0</v>
      </c>
      <c r="F567" s="44">
        <f>'Kalkulace a Porovnání'!F567</f>
        <v>0</v>
      </c>
      <c r="G567" s="44">
        <f>'Kalkulace a Porovnání'!G567</f>
        <v>0</v>
      </c>
      <c r="H567" s="30">
        <f>'Kalkulace a Porovnání'!H567</f>
        <v>0</v>
      </c>
      <c r="K567" s="12" t="s">
        <v>39</v>
      </c>
      <c r="L567" s="12" t="s">
        <v>40</v>
      </c>
      <c r="M567" s="3" t="s">
        <v>10</v>
      </c>
      <c r="N567" s="44">
        <f>'Kalkulace a Porovnání'!N567</f>
        <v>0</v>
      </c>
      <c r="O567" s="44">
        <f>'Kalkulace a Porovnání'!O567</f>
        <v>0</v>
      </c>
      <c r="P567" s="44">
        <f>'Kalkulace a Porovnání'!P567</f>
        <v>0</v>
      </c>
      <c r="Q567" s="30">
        <f>'Kalkulace a Porovnání'!Q567</f>
        <v>0</v>
      </c>
      <c r="T567" s="12" t="s">
        <v>39</v>
      </c>
      <c r="U567" s="12" t="s">
        <v>40</v>
      </c>
      <c r="V567" s="3" t="s">
        <v>10</v>
      </c>
      <c r="W567" s="44">
        <f>'Kalkulace a Porovnání'!W567</f>
        <v>0</v>
      </c>
      <c r="X567" s="44">
        <f>'Kalkulace a Porovnání'!X567</f>
        <v>0</v>
      </c>
      <c r="Y567" s="44">
        <f>'Kalkulace a Porovnání'!Y567</f>
        <v>0</v>
      </c>
      <c r="Z567" s="44">
        <f>'Kalkulace a Porovnání'!Z567</f>
        <v>0</v>
      </c>
      <c r="AA567" s="44">
        <f>'Kalkulace a Porovnání'!AA567</f>
        <v>0</v>
      </c>
      <c r="AB567" s="30">
        <f>'Kalkulace a Porovnání'!AB567</f>
        <v>0</v>
      </c>
      <c r="AC567" s="146"/>
      <c r="AD567" s="428"/>
      <c r="AG567" s="1119"/>
      <c r="AH567" s="1119"/>
      <c r="AI567" s="252"/>
      <c r="AJ567" s="252"/>
      <c r="AK567" s="428"/>
      <c r="AL567" s="146"/>
    </row>
    <row r="568" spans="2:38" x14ac:dyDescent="0.25">
      <c r="B568" s="12" t="s">
        <v>41</v>
      </c>
      <c r="C568" s="13" t="s">
        <v>42</v>
      </c>
      <c r="D568" s="3" t="s">
        <v>10</v>
      </c>
      <c r="E568" s="44">
        <f>'Kalkulace a Porovnání'!E568</f>
        <v>0</v>
      </c>
      <c r="F568" s="44">
        <f>'Kalkulace a Porovnání'!F568</f>
        <v>0</v>
      </c>
      <c r="G568" s="44">
        <f>'Kalkulace a Porovnání'!G568</f>
        <v>0</v>
      </c>
      <c r="H568" s="30">
        <f>'Kalkulace a Porovnání'!H568</f>
        <v>0</v>
      </c>
      <c r="K568" s="12" t="s">
        <v>41</v>
      </c>
      <c r="L568" s="13" t="s">
        <v>42</v>
      </c>
      <c r="M568" s="3" t="s">
        <v>10</v>
      </c>
      <c r="N568" s="44">
        <f>'Kalkulace a Porovnání'!N568</f>
        <v>0</v>
      </c>
      <c r="O568" s="44">
        <f>'Kalkulace a Porovnání'!O568</f>
        <v>0</v>
      </c>
      <c r="P568" s="44">
        <f>'Kalkulace a Porovnání'!P568</f>
        <v>0</v>
      </c>
      <c r="Q568" s="30">
        <f>'Kalkulace a Porovnání'!Q568</f>
        <v>0</v>
      </c>
      <c r="T568" s="12" t="s">
        <v>41</v>
      </c>
      <c r="U568" s="13" t="s">
        <v>42</v>
      </c>
      <c r="V568" s="3" t="s">
        <v>10</v>
      </c>
      <c r="W568" s="44">
        <f>'Kalkulace a Porovnání'!W568</f>
        <v>0</v>
      </c>
      <c r="X568" s="44">
        <f>'Kalkulace a Porovnání'!X568</f>
        <v>0</v>
      </c>
      <c r="Y568" s="44">
        <f>'Kalkulace a Porovnání'!Y568</f>
        <v>0</v>
      </c>
      <c r="Z568" s="44">
        <f>'Kalkulace a Porovnání'!Z568</f>
        <v>0</v>
      </c>
      <c r="AA568" s="44">
        <f>'Kalkulace a Porovnání'!AA568</f>
        <v>0</v>
      </c>
      <c r="AB568" s="30">
        <f>'Kalkulace a Porovnání'!AB568</f>
        <v>0</v>
      </c>
      <c r="AC568" s="146"/>
      <c r="AD568" s="428"/>
      <c r="AG568" s="426"/>
      <c r="AH568" s="426"/>
      <c r="AI568" s="252"/>
      <c r="AJ568" s="252"/>
      <c r="AK568" s="428"/>
      <c r="AL568" s="146"/>
    </row>
    <row r="569" spans="2:38" x14ac:dyDescent="0.25">
      <c r="B569" s="9" t="s">
        <v>43</v>
      </c>
      <c r="C569" s="10" t="s">
        <v>44</v>
      </c>
      <c r="D569" s="11" t="s">
        <v>10</v>
      </c>
      <c r="E569" s="44">
        <f>'Kalkulace a Porovnání'!E569</f>
        <v>0</v>
      </c>
      <c r="F569" s="44">
        <f>'Kalkulace a Porovnání'!F569</f>
        <v>0</v>
      </c>
      <c r="G569" s="44">
        <f>'Kalkulace a Porovnání'!G569</f>
        <v>0</v>
      </c>
      <c r="H569" s="30">
        <f>'Kalkulace a Porovnání'!H569</f>
        <v>0</v>
      </c>
      <c r="K569" s="9" t="s">
        <v>43</v>
      </c>
      <c r="L569" s="10" t="s">
        <v>44</v>
      </c>
      <c r="M569" s="11" t="s">
        <v>10</v>
      </c>
      <c r="N569" s="44">
        <f>'Kalkulace a Porovnání'!N569</f>
        <v>0</v>
      </c>
      <c r="O569" s="44">
        <f>'Kalkulace a Porovnání'!O569</f>
        <v>0</v>
      </c>
      <c r="P569" s="44">
        <f>'Kalkulace a Porovnání'!P569</f>
        <v>0</v>
      </c>
      <c r="Q569" s="30">
        <f>'Kalkulace a Porovnání'!Q569</f>
        <v>0</v>
      </c>
      <c r="T569" s="9" t="s">
        <v>43</v>
      </c>
      <c r="U569" s="10" t="s">
        <v>44</v>
      </c>
      <c r="V569" s="11" t="s">
        <v>10</v>
      </c>
      <c r="W569" s="44">
        <f>'Kalkulace a Porovnání'!W569</f>
        <v>0</v>
      </c>
      <c r="X569" s="44">
        <f>'Kalkulace a Porovnání'!X569</f>
        <v>0</v>
      </c>
      <c r="Y569" s="44">
        <f>'Kalkulace a Porovnání'!Y569</f>
        <v>0</v>
      </c>
      <c r="Z569" s="44">
        <f>'Kalkulace a Porovnání'!Z569</f>
        <v>0</v>
      </c>
      <c r="AA569" s="44">
        <f>'Kalkulace a Porovnání'!AA569</f>
        <v>0</v>
      </c>
      <c r="AB569" s="30">
        <f>'Kalkulace a Porovnání'!AB569</f>
        <v>0</v>
      </c>
      <c r="AC569" s="146"/>
      <c r="AD569" s="428"/>
      <c r="AG569" s="147"/>
      <c r="AH569" s="147"/>
      <c r="AI569" s="252"/>
      <c r="AJ569" s="252"/>
      <c r="AK569" s="428"/>
      <c r="AL569" s="146"/>
    </row>
    <row r="570" spans="2:38" x14ac:dyDescent="0.25">
      <c r="B570" s="9" t="s">
        <v>45</v>
      </c>
      <c r="C570" s="10" t="s">
        <v>388</v>
      </c>
      <c r="D570" s="11" t="s">
        <v>10</v>
      </c>
      <c r="E570" s="44">
        <f>'Kalkulace a Porovnání'!E570</f>
        <v>0</v>
      </c>
      <c r="F570" s="44">
        <f>'Kalkulace a Porovnání'!F570</f>
        <v>0</v>
      </c>
      <c r="G570" s="44">
        <f>'Kalkulace a Porovnání'!G570</f>
        <v>0</v>
      </c>
      <c r="H570" s="30">
        <f>'Kalkulace a Porovnání'!H570</f>
        <v>0</v>
      </c>
      <c r="K570" s="9" t="s">
        <v>45</v>
      </c>
      <c r="L570" s="10" t="s">
        <v>388</v>
      </c>
      <c r="M570" s="11" t="s">
        <v>10</v>
      </c>
      <c r="N570" s="44">
        <f>'Kalkulace a Porovnání'!N570</f>
        <v>0</v>
      </c>
      <c r="O570" s="44">
        <f>'Kalkulace a Porovnání'!O570</f>
        <v>0</v>
      </c>
      <c r="P570" s="44">
        <f>'Kalkulace a Porovnání'!P570</f>
        <v>0</v>
      </c>
      <c r="Q570" s="30">
        <f>'Kalkulace a Porovnání'!Q570</f>
        <v>0</v>
      </c>
      <c r="T570" s="9" t="s">
        <v>45</v>
      </c>
      <c r="U570" s="10" t="s">
        <v>388</v>
      </c>
      <c r="V570" s="11" t="s">
        <v>10</v>
      </c>
      <c r="W570" s="44">
        <f>'Kalkulace a Porovnání'!W570</f>
        <v>0</v>
      </c>
      <c r="X570" s="44">
        <f>'Kalkulace a Porovnání'!X570</f>
        <v>0</v>
      </c>
      <c r="Y570" s="44">
        <f>'Kalkulace a Porovnání'!Y570</f>
        <v>0</v>
      </c>
      <c r="Z570" s="44">
        <f>'Kalkulace a Porovnání'!Z570</f>
        <v>0</v>
      </c>
      <c r="AA570" s="44">
        <f>'Kalkulace a Porovnání'!AA570</f>
        <v>0</v>
      </c>
      <c r="AB570" s="30">
        <f>'Kalkulace a Porovnání'!AB570</f>
        <v>0</v>
      </c>
      <c r="AC570" s="146"/>
      <c r="AD570" s="428"/>
      <c r="AG570" s="147"/>
      <c r="AH570" s="147"/>
      <c r="AI570" s="252"/>
      <c r="AJ570" s="252"/>
      <c r="AK570" s="428"/>
      <c r="AL570" s="146"/>
    </row>
    <row r="571" spans="2:38" x14ac:dyDescent="0.25">
      <c r="B571" s="9" t="s">
        <v>46</v>
      </c>
      <c r="C571" s="10" t="s">
        <v>47</v>
      </c>
      <c r="D571" s="11" t="s">
        <v>10</v>
      </c>
      <c r="E571" s="44">
        <f>'Kalkulace a Porovnání'!E571</f>
        <v>0</v>
      </c>
      <c r="F571" s="44">
        <f>'Kalkulace a Porovnání'!F571</f>
        <v>0</v>
      </c>
      <c r="G571" s="44">
        <f>'Kalkulace a Porovnání'!G571</f>
        <v>0</v>
      </c>
      <c r="H571" s="30">
        <f>'Kalkulace a Porovnání'!H571</f>
        <v>0</v>
      </c>
      <c r="K571" s="9" t="s">
        <v>46</v>
      </c>
      <c r="L571" s="10" t="s">
        <v>47</v>
      </c>
      <c r="M571" s="11" t="s">
        <v>10</v>
      </c>
      <c r="N571" s="44">
        <f>'Kalkulace a Porovnání'!N571</f>
        <v>0</v>
      </c>
      <c r="O571" s="44">
        <f>'Kalkulace a Porovnání'!O571</f>
        <v>0</v>
      </c>
      <c r="P571" s="44">
        <f>'Kalkulace a Porovnání'!P571</f>
        <v>0</v>
      </c>
      <c r="Q571" s="30">
        <f>'Kalkulace a Porovnání'!Q571</f>
        <v>0</v>
      </c>
      <c r="T571" s="9" t="s">
        <v>46</v>
      </c>
      <c r="U571" s="10" t="s">
        <v>47</v>
      </c>
      <c r="V571" s="11" t="s">
        <v>10</v>
      </c>
      <c r="W571" s="44">
        <f>'Kalkulace a Porovnání'!W571</f>
        <v>0</v>
      </c>
      <c r="X571" s="44">
        <f>'Kalkulace a Porovnání'!X571</f>
        <v>0</v>
      </c>
      <c r="Y571" s="44">
        <f>'Kalkulace a Porovnání'!Y571</f>
        <v>0</v>
      </c>
      <c r="Z571" s="44">
        <f>'Kalkulace a Porovnání'!Z571</f>
        <v>0</v>
      </c>
      <c r="AA571" s="44">
        <f>'Kalkulace a Porovnání'!AA571</f>
        <v>0</v>
      </c>
      <c r="AB571" s="30">
        <f>'Kalkulace a Porovnání'!AB571</f>
        <v>0</v>
      </c>
      <c r="AC571" s="146"/>
      <c r="AD571" s="428"/>
      <c r="AG571" s="147"/>
      <c r="AH571" s="147"/>
      <c r="AI571" s="252"/>
      <c r="AJ571" s="252"/>
      <c r="AK571" s="428"/>
      <c r="AL571" s="146"/>
    </row>
    <row r="572" spans="2:38" x14ac:dyDescent="0.25">
      <c r="B572" s="9" t="s">
        <v>48</v>
      </c>
      <c r="C572" s="10" t="s">
        <v>49</v>
      </c>
      <c r="D572" s="11" t="s">
        <v>10</v>
      </c>
      <c r="E572" s="44">
        <f>'Kalkulace a Porovnání'!E572</f>
        <v>0</v>
      </c>
      <c r="F572" s="44">
        <f>'Kalkulace a Porovnání'!F572</f>
        <v>0</v>
      </c>
      <c r="G572" s="44">
        <f>'Kalkulace a Porovnání'!G572</f>
        <v>0</v>
      </c>
      <c r="H572" s="30">
        <f>'Kalkulace a Porovnání'!H572</f>
        <v>0</v>
      </c>
      <c r="K572" s="9" t="s">
        <v>48</v>
      </c>
      <c r="L572" s="10" t="s">
        <v>49</v>
      </c>
      <c r="M572" s="11" t="s">
        <v>10</v>
      </c>
      <c r="N572" s="44">
        <f>'Kalkulace a Porovnání'!N572</f>
        <v>0</v>
      </c>
      <c r="O572" s="44">
        <f>'Kalkulace a Porovnání'!O572</f>
        <v>0</v>
      </c>
      <c r="P572" s="44">
        <f>'Kalkulace a Porovnání'!P572</f>
        <v>0</v>
      </c>
      <c r="Q572" s="30">
        <f>'Kalkulace a Porovnání'!Q572</f>
        <v>0</v>
      </c>
      <c r="T572" s="9" t="s">
        <v>48</v>
      </c>
      <c r="U572" s="10" t="s">
        <v>49</v>
      </c>
      <c r="V572" s="11" t="s">
        <v>10</v>
      </c>
      <c r="W572" s="44">
        <f>'Kalkulace a Porovnání'!W572</f>
        <v>0</v>
      </c>
      <c r="X572" s="44">
        <f>'Kalkulace a Porovnání'!X572</f>
        <v>0</v>
      </c>
      <c r="Y572" s="44">
        <f>'Kalkulace a Porovnání'!Y572</f>
        <v>0</v>
      </c>
      <c r="Z572" s="44">
        <f>'Kalkulace a Porovnání'!Z572</f>
        <v>0</v>
      </c>
      <c r="AA572" s="44">
        <f>'Kalkulace a Porovnání'!AA572</f>
        <v>0</v>
      </c>
      <c r="AB572" s="30">
        <f>'Kalkulace a Porovnání'!AB572</f>
        <v>0</v>
      </c>
      <c r="AC572" s="146"/>
      <c r="AD572" s="428"/>
      <c r="AG572" s="147"/>
      <c r="AH572" s="147"/>
      <c r="AI572" s="252"/>
      <c r="AJ572" s="252"/>
      <c r="AK572" s="428"/>
      <c r="AL572" s="146"/>
    </row>
    <row r="573" spans="2:38" x14ac:dyDescent="0.25">
      <c r="B573" s="12" t="s">
        <v>386</v>
      </c>
      <c r="C573" s="13" t="s">
        <v>385</v>
      </c>
      <c r="D573" s="3" t="s">
        <v>10</v>
      </c>
      <c r="E573" s="44">
        <f>'Kalkulace a Porovnání'!E573</f>
        <v>0</v>
      </c>
      <c r="F573" s="44">
        <f>'Kalkulace a Porovnání'!F573</f>
        <v>0.02</v>
      </c>
      <c r="G573" s="44">
        <f>'Kalkulace a Porovnání'!G573</f>
        <v>0</v>
      </c>
      <c r="H573" s="30">
        <f>'Kalkulace a Porovnání'!H573</f>
        <v>0.02</v>
      </c>
      <c r="K573" s="12" t="s">
        <v>386</v>
      </c>
      <c r="L573" s="13" t="s">
        <v>385</v>
      </c>
      <c r="M573" s="3" t="s">
        <v>10</v>
      </c>
      <c r="N573" s="44">
        <f>'Kalkulace a Porovnání'!N573</f>
        <v>0</v>
      </c>
      <c r="O573" s="44">
        <f>'Kalkulace a Porovnání'!O573</f>
        <v>0</v>
      </c>
      <c r="P573" s="44">
        <f>'Kalkulace a Porovnání'!P573</f>
        <v>0</v>
      </c>
      <c r="Q573" s="30">
        <f>'Kalkulace a Porovnání'!Q573</f>
        <v>0</v>
      </c>
      <c r="T573" s="12" t="s">
        <v>386</v>
      </c>
      <c r="U573" s="13" t="s">
        <v>385</v>
      </c>
      <c r="V573" s="3" t="s">
        <v>10</v>
      </c>
      <c r="W573" s="44">
        <f>'Kalkulace a Porovnání'!W573</f>
        <v>0</v>
      </c>
      <c r="X573" s="44">
        <f>'Kalkulace a Porovnání'!X573</f>
        <v>0</v>
      </c>
      <c r="Y573" s="44">
        <f>'Kalkulace a Porovnání'!Y573</f>
        <v>0</v>
      </c>
      <c r="Z573" s="44">
        <f>'Kalkulace a Porovnání'!Z573</f>
        <v>0</v>
      </c>
      <c r="AA573" s="44">
        <f>'Kalkulace a Porovnání'!AA573</f>
        <v>0</v>
      </c>
      <c r="AB573" s="30">
        <f>'Kalkulace a Porovnání'!AB573</f>
        <v>0</v>
      </c>
      <c r="AC573" s="146"/>
      <c r="AD573" s="428"/>
      <c r="AG573" s="147"/>
      <c r="AH573" s="147"/>
      <c r="AI573" s="252"/>
      <c r="AJ573" s="252"/>
      <c r="AK573" s="428"/>
      <c r="AL573" s="146"/>
    </row>
    <row r="574" spans="2:38" x14ac:dyDescent="0.25">
      <c r="B574" s="9" t="s">
        <v>50</v>
      </c>
      <c r="C574" s="10" t="s">
        <v>391</v>
      </c>
      <c r="D574" s="11" t="s">
        <v>10</v>
      </c>
      <c r="E574" s="41">
        <f>'Kalkulace a Porovnání'!E574</f>
        <v>0</v>
      </c>
      <c r="F574" s="41">
        <f>'Kalkulace a Porovnání'!F574</f>
        <v>0</v>
      </c>
      <c r="G574" s="41">
        <f>'Kalkulace a Porovnání'!G574</f>
        <v>0</v>
      </c>
      <c r="H574" s="86">
        <f>'Kalkulace a Porovnání'!H574</f>
        <v>0</v>
      </c>
      <c r="K574" s="9" t="s">
        <v>50</v>
      </c>
      <c r="L574" s="10" t="s">
        <v>391</v>
      </c>
      <c r="M574" s="11" t="s">
        <v>10</v>
      </c>
      <c r="N574" s="41">
        <f>'Kalkulace a Porovnání'!N574</f>
        <v>0</v>
      </c>
      <c r="O574" s="41">
        <f>'Kalkulace a Porovnání'!O574</f>
        <v>0</v>
      </c>
      <c r="P574" s="41">
        <f>'Kalkulace a Porovnání'!P574</f>
        <v>0</v>
      </c>
      <c r="Q574" s="86">
        <f>'Kalkulace a Porovnání'!Q574</f>
        <v>0</v>
      </c>
      <c r="T574" s="9" t="s">
        <v>50</v>
      </c>
      <c r="U574" s="10" t="s">
        <v>391</v>
      </c>
      <c r="V574" s="11" t="s">
        <v>10</v>
      </c>
      <c r="W574" s="41">
        <f>'Kalkulace a Porovnání'!W574</f>
        <v>0</v>
      </c>
      <c r="X574" s="41">
        <f>'Kalkulace a Porovnání'!X574</f>
        <v>0</v>
      </c>
      <c r="Y574" s="41">
        <f>'Kalkulace a Porovnání'!Y574</f>
        <v>0</v>
      </c>
      <c r="Z574" s="41">
        <f>'Kalkulace a Porovnání'!Z574</f>
        <v>0</v>
      </c>
      <c r="AA574" s="41">
        <f>'Kalkulace a Porovnání'!AA574</f>
        <v>0</v>
      </c>
      <c r="AB574" s="86">
        <f>'Kalkulace a Porovnání'!AB574</f>
        <v>0</v>
      </c>
      <c r="AC574" s="146"/>
      <c r="AD574" s="428"/>
      <c r="AG574" s="147"/>
      <c r="AH574" s="147"/>
      <c r="AI574" s="252"/>
      <c r="AJ574" s="252"/>
      <c r="AK574" s="428"/>
      <c r="AL574" s="146"/>
    </row>
    <row r="575" spans="2:38" x14ac:dyDescent="0.25">
      <c r="B575" s="12" t="s">
        <v>389</v>
      </c>
      <c r="C575" s="13" t="s">
        <v>96</v>
      </c>
      <c r="D575" s="3" t="s">
        <v>10</v>
      </c>
      <c r="E575" s="329">
        <f>'Kalkulace a Porovnání'!E575</f>
        <v>0</v>
      </c>
      <c r="F575" s="329">
        <f>'Kalkulace a Porovnání'!F575</f>
        <v>0</v>
      </c>
      <c r="G575" s="329">
        <f>'Kalkulace a Porovnání'!G575</f>
        <v>0</v>
      </c>
      <c r="H575" s="330">
        <f>'Kalkulace a Porovnání'!H575</f>
        <v>0</v>
      </c>
      <c r="K575" s="12" t="s">
        <v>389</v>
      </c>
      <c r="L575" s="13" t="s">
        <v>96</v>
      </c>
      <c r="M575" s="3" t="s">
        <v>10</v>
      </c>
      <c r="N575" s="329">
        <f>'Kalkulace a Porovnání'!N575</f>
        <v>0</v>
      </c>
      <c r="O575" s="329">
        <f>'Kalkulace a Porovnání'!O575</f>
        <v>0</v>
      </c>
      <c r="P575" s="329">
        <f>'Kalkulace a Porovnání'!P575</f>
        <v>0</v>
      </c>
      <c r="Q575" s="330">
        <f>'Kalkulace a Porovnání'!Q575</f>
        <v>0</v>
      </c>
      <c r="T575" s="12" t="s">
        <v>389</v>
      </c>
      <c r="U575" s="13" t="s">
        <v>96</v>
      </c>
      <c r="V575" s="3" t="s">
        <v>10</v>
      </c>
      <c r="W575" s="329">
        <f>'Kalkulace a Porovnání'!W575</f>
        <v>0</v>
      </c>
      <c r="X575" s="329">
        <f>'Kalkulace a Porovnání'!X575</f>
        <v>0</v>
      </c>
      <c r="Y575" s="329">
        <f>'Kalkulace a Porovnání'!Y575</f>
        <v>0</v>
      </c>
      <c r="Z575" s="329">
        <f>'Kalkulace a Porovnání'!Z575</f>
        <v>0</v>
      </c>
      <c r="AA575" s="329">
        <f>'Kalkulace a Porovnání'!AA575</f>
        <v>0</v>
      </c>
      <c r="AB575" s="330">
        <f>'Kalkulace a Porovnání'!AB575</f>
        <v>0</v>
      </c>
      <c r="AC575" s="146"/>
      <c r="AD575" s="428"/>
      <c r="AG575" s="1120"/>
      <c r="AH575" s="1120"/>
      <c r="AI575" s="252"/>
      <c r="AJ575" s="252"/>
      <c r="AK575" s="428"/>
      <c r="AL575" s="146"/>
    </row>
    <row r="576" spans="2:38" x14ac:dyDescent="0.25">
      <c r="B576" s="12" t="s">
        <v>389</v>
      </c>
      <c r="C576" s="13" t="s">
        <v>97</v>
      </c>
      <c r="D576" s="3" t="s">
        <v>10</v>
      </c>
      <c r="E576" s="329">
        <f>'Kalkulace a Porovnání'!E576</f>
        <v>0</v>
      </c>
      <c r="F576" s="329">
        <f>'Kalkulace a Porovnání'!F576</f>
        <v>0</v>
      </c>
      <c r="G576" s="329">
        <f>'Kalkulace a Porovnání'!G576</f>
        <v>0</v>
      </c>
      <c r="H576" s="330">
        <f>'Kalkulace a Porovnání'!H576</f>
        <v>0</v>
      </c>
      <c r="K576" s="12" t="s">
        <v>389</v>
      </c>
      <c r="L576" s="13" t="s">
        <v>97</v>
      </c>
      <c r="M576" s="3" t="s">
        <v>10</v>
      </c>
      <c r="N576" s="329">
        <f>'Kalkulace a Porovnání'!N576</f>
        <v>0</v>
      </c>
      <c r="O576" s="329">
        <f>'Kalkulace a Porovnání'!O576</f>
        <v>0</v>
      </c>
      <c r="P576" s="329">
        <f>'Kalkulace a Porovnání'!P576</f>
        <v>0</v>
      </c>
      <c r="Q576" s="330">
        <f>'Kalkulace a Porovnání'!Q576</f>
        <v>0</v>
      </c>
      <c r="T576" s="12" t="s">
        <v>389</v>
      </c>
      <c r="U576" s="13" t="s">
        <v>97</v>
      </c>
      <c r="V576" s="3" t="s">
        <v>10</v>
      </c>
      <c r="W576" s="329">
        <f>'Kalkulace a Porovnání'!W576</f>
        <v>0</v>
      </c>
      <c r="X576" s="329">
        <f>'Kalkulace a Porovnání'!X576</f>
        <v>0</v>
      </c>
      <c r="Y576" s="329">
        <f>'Kalkulace a Porovnání'!Y576</f>
        <v>0</v>
      </c>
      <c r="Z576" s="329">
        <f>'Kalkulace a Porovnání'!Z576</f>
        <v>0</v>
      </c>
      <c r="AA576" s="329">
        <f>'Kalkulace a Porovnání'!AA576</f>
        <v>0</v>
      </c>
      <c r="AB576" s="330">
        <f>'Kalkulace a Porovnání'!AB576</f>
        <v>0</v>
      </c>
      <c r="AC576" s="146"/>
      <c r="AD576" s="428"/>
      <c r="AG576" s="1120"/>
      <c r="AH576" s="1120"/>
      <c r="AI576" s="252"/>
      <c r="AJ576" s="252"/>
      <c r="AK576" s="428"/>
      <c r="AL576" s="146"/>
    </row>
    <row r="577" spans="2:38" x14ac:dyDescent="0.25">
      <c r="B577" s="12" t="s">
        <v>51</v>
      </c>
      <c r="C577" s="13" t="s">
        <v>54</v>
      </c>
      <c r="D577" s="3" t="s">
        <v>55</v>
      </c>
      <c r="E577" s="331">
        <f>'Kalkulace a Porovnání'!E577</f>
        <v>0</v>
      </c>
      <c r="F577" s="331">
        <f>'Kalkulace a Porovnání'!F577</f>
        <v>0</v>
      </c>
      <c r="G577" s="331">
        <f>'Kalkulace a Porovnání'!G577</f>
        <v>0</v>
      </c>
      <c r="H577" s="332">
        <f>'Kalkulace a Porovnání'!H577</f>
        <v>0</v>
      </c>
      <c r="K577" s="12" t="s">
        <v>51</v>
      </c>
      <c r="L577" s="13" t="s">
        <v>54</v>
      </c>
      <c r="M577" s="3" t="s">
        <v>55</v>
      </c>
      <c r="N577" s="331">
        <f>'Kalkulace a Porovnání'!N577</f>
        <v>0</v>
      </c>
      <c r="O577" s="331">
        <f>'Kalkulace a Porovnání'!O577</f>
        <v>0</v>
      </c>
      <c r="P577" s="331">
        <f>'Kalkulace a Porovnání'!P577</f>
        <v>0</v>
      </c>
      <c r="Q577" s="332">
        <f>'Kalkulace a Porovnání'!Q577</f>
        <v>0</v>
      </c>
      <c r="T577" s="12" t="s">
        <v>51</v>
      </c>
      <c r="U577" s="13" t="s">
        <v>54</v>
      </c>
      <c r="V577" s="3" t="s">
        <v>55</v>
      </c>
      <c r="W577" s="331">
        <f>'Kalkulace a Porovnání'!W577</f>
        <v>0</v>
      </c>
      <c r="X577" s="331">
        <f>'Kalkulace a Porovnání'!X577</f>
        <v>0</v>
      </c>
      <c r="Y577" s="331">
        <f>'Kalkulace a Porovnání'!Y577</f>
        <v>0</v>
      </c>
      <c r="Z577" s="331">
        <f>'Kalkulace a Porovnání'!Z577</f>
        <v>0</v>
      </c>
      <c r="AA577" s="331">
        <f>'Kalkulace a Porovnání'!AA577</f>
        <v>0</v>
      </c>
      <c r="AB577" s="332">
        <f>'Kalkulace a Porovnání'!AB577</f>
        <v>0</v>
      </c>
      <c r="AC577" s="146"/>
      <c r="AD577" s="428"/>
      <c r="AG577" s="1119"/>
      <c r="AH577" s="1119"/>
      <c r="AI577" s="252"/>
      <c r="AJ577" s="252"/>
      <c r="AK577" s="428"/>
      <c r="AL577" s="146"/>
    </row>
    <row r="578" spans="2:38" x14ac:dyDescent="0.25">
      <c r="B578" s="12" t="s">
        <v>52</v>
      </c>
      <c r="C578" s="13" t="s">
        <v>57</v>
      </c>
      <c r="D578" s="3" t="s">
        <v>58</v>
      </c>
      <c r="E578" s="44">
        <f>'Kalkulace a Porovnání'!E578</f>
        <v>0</v>
      </c>
      <c r="F578" s="44">
        <f>'Kalkulace a Porovnání'!F578</f>
        <v>0</v>
      </c>
      <c r="G578" s="44">
        <f>'Kalkulace a Porovnání'!G578</f>
        <v>0</v>
      </c>
      <c r="H578" s="30">
        <f>'Kalkulace a Porovnání'!H578</f>
        <v>0</v>
      </c>
      <c r="K578" s="12" t="s">
        <v>52</v>
      </c>
      <c r="L578" s="13" t="s">
        <v>57</v>
      </c>
      <c r="M578" s="3" t="s">
        <v>58</v>
      </c>
      <c r="N578" s="44">
        <f>'Kalkulace a Porovnání'!N578</f>
        <v>0</v>
      </c>
      <c r="O578" s="44">
        <f>'Kalkulace a Porovnání'!O578</f>
        <v>0</v>
      </c>
      <c r="P578" s="44">
        <f>'Kalkulace a Porovnání'!P578</f>
        <v>0</v>
      </c>
      <c r="Q578" s="30">
        <f>'Kalkulace a Porovnání'!Q578</f>
        <v>0</v>
      </c>
      <c r="T578" s="12" t="s">
        <v>52</v>
      </c>
      <c r="U578" s="13" t="s">
        <v>57</v>
      </c>
      <c r="V578" s="3" t="s">
        <v>58</v>
      </c>
      <c r="W578" s="44">
        <f>'Kalkulace a Porovnání'!W578</f>
        <v>0</v>
      </c>
      <c r="X578" s="44">
        <f>'Kalkulace a Porovnání'!X578</f>
        <v>0</v>
      </c>
      <c r="Y578" s="44">
        <f>'Kalkulace a Porovnání'!Y578</f>
        <v>0</v>
      </c>
      <c r="Z578" s="44">
        <f>'Kalkulace a Porovnání'!Z578</f>
        <v>0</v>
      </c>
      <c r="AA578" s="44">
        <f>'Kalkulace a Porovnání'!AA578</f>
        <v>0</v>
      </c>
      <c r="AB578" s="30">
        <f>'Kalkulace a Porovnání'!AB578</f>
        <v>0</v>
      </c>
      <c r="AC578" s="146"/>
      <c r="AD578" s="428"/>
      <c r="AG578" s="1119"/>
      <c r="AH578" s="1119"/>
      <c r="AI578" s="252"/>
      <c r="AJ578" s="252"/>
      <c r="AK578" s="428"/>
      <c r="AL578" s="146"/>
    </row>
    <row r="579" spans="2:38" x14ac:dyDescent="0.25">
      <c r="B579" s="12" t="s">
        <v>53</v>
      </c>
      <c r="C579" s="13" t="s">
        <v>60</v>
      </c>
      <c r="D579" s="3" t="s">
        <v>58</v>
      </c>
      <c r="E579" s="44">
        <f>'Kalkulace a Porovnání'!E579</f>
        <v>0</v>
      </c>
      <c r="F579" s="44">
        <f>'Kalkulace a Porovnání'!F579</f>
        <v>0</v>
      </c>
      <c r="G579" s="44">
        <f>'Kalkulace a Porovnání'!G579</f>
        <v>0</v>
      </c>
      <c r="H579" s="30">
        <f>'Kalkulace a Porovnání'!H579</f>
        <v>0</v>
      </c>
      <c r="K579" s="12" t="s">
        <v>53</v>
      </c>
      <c r="L579" s="13" t="s">
        <v>60</v>
      </c>
      <c r="M579" s="3" t="s">
        <v>58</v>
      </c>
      <c r="N579" s="44">
        <f>'Kalkulace a Porovnání'!N579</f>
        <v>0</v>
      </c>
      <c r="O579" s="44">
        <f>'Kalkulace a Porovnání'!O579</f>
        <v>0</v>
      </c>
      <c r="P579" s="44">
        <f>'Kalkulace a Porovnání'!P579</f>
        <v>0</v>
      </c>
      <c r="Q579" s="30">
        <f>'Kalkulace a Porovnání'!Q579</f>
        <v>0</v>
      </c>
      <c r="T579" s="12" t="s">
        <v>53</v>
      </c>
      <c r="U579" s="13" t="s">
        <v>60</v>
      </c>
      <c r="V579" s="3" t="s">
        <v>58</v>
      </c>
      <c r="W579" s="44">
        <f>'Kalkulace a Porovnání'!W579</f>
        <v>0</v>
      </c>
      <c r="X579" s="44">
        <f>'Kalkulace a Porovnání'!X579</f>
        <v>0</v>
      </c>
      <c r="Y579" s="44">
        <f>'Kalkulace a Porovnání'!Y579</f>
        <v>0</v>
      </c>
      <c r="Z579" s="44">
        <f>'Kalkulace a Porovnání'!Z579</f>
        <v>0</v>
      </c>
      <c r="AA579" s="44">
        <f>'Kalkulace a Porovnání'!AA579</f>
        <v>0</v>
      </c>
      <c r="AB579" s="30">
        <f>'Kalkulace a Porovnání'!AB579</f>
        <v>0</v>
      </c>
      <c r="AC579" s="146"/>
      <c r="AD579" s="428"/>
      <c r="AG579" s="147"/>
      <c r="AH579" s="147"/>
      <c r="AI579" s="252"/>
      <c r="AJ579" s="252"/>
      <c r="AK579" s="428"/>
      <c r="AL579" s="146"/>
    </row>
    <row r="580" spans="2:38" x14ac:dyDescent="0.25">
      <c r="B580" s="12" t="s">
        <v>56</v>
      </c>
      <c r="C580" s="13" t="s">
        <v>62</v>
      </c>
      <c r="D580" s="3" t="s">
        <v>58</v>
      </c>
      <c r="E580" s="44">
        <f>'Kalkulace a Porovnání'!E580</f>
        <v>0</v>
      </c>
      <c r="F580" s="44">
        <f>'Kalkulace a Porovnání'!F580</f>
        <v>0</v>
      </c>
      <c r="G580" s="44">
        <f>'Kalkulace a Porovnání'!G580</f>
        <v>0</v>
      </c>
      <c r="H580" s="30">
        <f>'Kalkulace a Porovnání'!H580</f>
        <v>0</v>
      </c>
      <c r="K580" s="12" t="s">
        <v>56</v>
      </c>
      <c r="L580" s="13" t="s">
        <v>62</v>
      </c>
      <c r="M580" s="3" t="s">
        <v>58</v>
      </c>
      <c r="N580" s="44">
        <f>'Kalkulace a Porovnání'!N580</f>
        <v>0</v>
      </c>
      <c r="O580" s="44">
        <f>'Kalkulace a Porovnání'!O580</f>
        <v>0</v>
      </c>
      <c r="P580" s="44">
        <f>'Kalkulace a Porovnání'!P580</f>
        <v>0</v>
      </c>
      <c r="Q580" s="30">
        <f>'Kalkulace a Porovnání'!Q580</f>
        <v>0</v>
      </c>
      <c r="T580" s="12" t="s">
        <v>56</v>
      </c>
      <c r="U580" s="13" t="s">
        <v>62</v>
      </c>
      <c r="V580" s="3" t="s">
        <v>58</v>
      </c>
      <c r="W580" s="44">
        <f>'Kalkulace a Porovnání'!W580</f>
        <v>0</v>
      </c>
      <c r="X580" s="44">
        <f>'Kalkulace a Porovnání'!X580</f>
        <v>0</v>
      </c>
      <c r="Y580" s="44">
        <f>'Kalkulace a Porovnání'!Y580</f>
        <v>0</v>
      </c>
      <c r="Z580" s="44">
        <f>'Kalkulace a Porovnání'!Z580</f>
        <v>0</v>
      </c>
      <c r="AA580" s="44">
        <f>'Kalkulace a Porovnání'!AA580</f>
        <v>0</v>
      </c>
      <c r="AB580" s="30">
        <f>'Kalkulace a Porovnání'!AB580</f>
        <v>0</v>
      </c>
      <c r="AC580" s="146"/>
      <c r="AD580" s="428"/>
      <c r="AG580" s="430"/>
      <c r="AH580" s="430"/>
      <c r="AI580" s="252"/>
      <c r="AJ580" s="252"/>
      <c r="AK580" s="428"/>
      <c r="AL580" s="146"/>
    </row>
    <row r="581" spans="2:38" x14ac:dyDescent="0.25">
      <c r="B581" s="12" t="s">
        <v>59</v>
      </c>
      <c r="C581" s="13" t="s">
        <v>60</v>
      </c>
      <c r="D581" s="3" t="s">
        <v>58</v>
      </c>
      <c r="E581" s="44">
        <f>'Kalkulace a Porovnání'!E581</f>
        <v>0</v>
      </c>
      <c r="F581" s="44">
        <f>'Kalkulace a Porovnání'!F581</f>
        <v>0</v>
      </c>
      <c r="G581" s="44">
        <f>'Kalkulace a Porovnání'!G581</f>
        <v>0</v>
      </c>
      <c r="H581" s="30">
        <f>'Kalkulace a Porovnání'!H581</f>
        <v>0</v>
      </c>
      <c r="K581" s="12" t="s">
        <v>59</v>
      </c>
      <c r="L581" s="13" t="s">
        <v>60</v>
      </c>
      <c r="M581" s="3" t="s">
        <v>58</v>
      </c>
      <c r="N581" s="44">
        <f>'Kalkulace a Porovnání'!N581</f>
        <v>0</v>
      </c>
      <c r="O581" s="44">
        <f>'Kalkulace a Porovnání'!O581</f>
        <v>0</v>
      </c>
      <c r="P581" s="44">
        <f>'Kalkulace a Porovnání'!P581</f>
        <v>0</v>
      </c>
      <c r="Q581" s="30">
        <f>'Kalkulace a Porovnání'!Q581</f>
        <v>0</v>
      </c>
      <c r="T581" s="12" t="s">
        <v>59</v>
      </c>
      <c r="U581" s="13" t="s">
        <v>60</v>
      </c>
      <c r="V581" s="3" t="s">
        <v>58</v>
      </c>
      <c r="W581" s="44">
        <f>'Kalkulace a Porovnání'!W581</f>
        <v>0</v>
      </c>
      <c r="X581" s="44">
        <f>'Kalkulace a Porovnání'!X581</f>
        <v>0</v>
      </c>
      <c r="Y581" s="44">
        <f>'Kalkulace a Porovnání'!Y581</f>
        <v>0</v>
      </c>
      <c r="Z581" s="44">
        <f>'Kalkulace a Porovnání'!Z581</f>
        <v>0</v>
      </c>
      <c r="AA581" s="44">
        <f>'Kalkulace a Porovnání'!AA581</f>
        <v>0</v>
      </c>
      <c r="AB581" s="30">
        <f>'Kalkulace a Porovnání'!AB581</f>
        <v>0</v>
      </c>
      <c r="AC581" s="146"/>
      <c r="AD581" s="428"/>
      <c r="AG581" s="427"/>
      <c r="AH581" s="427"/>
      <c r="AI581" s="252"/>
      <c r="AJ581" s="252"/>
      <c r="AK581" s="428"/>
      <c r="AL581" s="146"/>
    </row>
    <row r="582" spans="2:38" x14ac:dyDescent="0.25">
      <c r="B582" s="12" t="s">
        <v>61</v>
      </c>
      <c r="C582" s="13" t="s">
        <v>65</v>
      </c>
      <c r="D582" s="3" t="s">
        <v>58</v>
      </c>
      <c r="E582" s="44">
        <f>'Kalkulace a Porovnání'!E582</f>
        <v>0</v>
      </c>
      <c r="F582" s="44">
        <f>'Kalkulace a Porovnání'!F582</f>
        <v>0</v>
      </c>
      <c r="G582" s="44">
        <f>'Kalkulace a Porovnání'!G582</f>
        <v>0</v>
      </c>
      <c r="H582" s="30">
        <f>'Kalkulace a Porovnání'!H582</f>
        <v>0</v>
      </c>
      <c r="K582" s="12" t="s">
        <v>61</v>
      </c>
      <c r="L582" s="13" t="s">
        <v>65</v>
      </c>
      <c r="M582" s="3" t="s">
        <v>58</v>
      </c>
      <c r="N582" s="44">
        <f>'Kalkulace a Porovnání'!N582</f>
        <v>0</v>
      </c>
      <c r="O582" s="44">
        <f>'Kalkulace a Porovnání'!O582</f>
        <v>0</v>
      </c>
      <c r="P582" s="44">
        <f>'Kalkulace a Porovnání'!P582</f>
        <v>0</v>
      </c>
      <c r="Q582" s="30">
        <f>'Kalkulace a Porovnání'!Q582</f>
        <v>0</v>
      </c>
      <c r="T582" s="12" t="s">
        <v>61</v>
      </c>
      <c r="U582" s="13" t="s">
        <v>65</v>
      </c>
      <c r="V582" s="3" t="s">
        <v>58</v>
      </c>
      <c r="W582" s="44">
        <f>'Kalkulace a Porovnání'!W582</f>
        <v>0</v>
      </c>
      <c r="X582" s="44">
        <f>'Kalkulace a Porovnání'!X582</f>
        <v>0</v>
      </c>
      <c r="Y582" s="44">
        <f>'Kalkulace a Porovnání'!Y582</f>
        <v>0</v>
      </c>
      <c r="Z582" s="44">
        <f>'Kalkulace a Porovnání'!Z582</f>
        <v>0</v>
      </c>
      <c r="AA582" s="44">
        <f>'Kalkulace a Porovnání'!AA582</f>
        <v>0</v>
      </c>
      <c r="AB582" s="30">
        <f>'Kalkulace a Porovnání'!AB582</f>
        <v>0</v>
      </c>
      <c r="AC582" s="146"/>
      <c r="AD582" s="428"/>
      <c r="AG582" s="147"/>
      <c r="AH582" s="147"/>
      <c r="AI582" s="430"/>
      <c r="AJ582" s="430"/>
      <c r="AK582" s="428"/>
      <c r="AL582" s="146"/>
    </row>
    <row r="583" spans="2:38" x14ac:dyDescent="0.25">
      <c r="B583" s="12" t="s">
        <v>63</v>
      </c>
      <c r="C583" s="13" t="s">
        <v>67</v>
      </c>
      <c r="D583" s="3" t="s">
        <v>58</v>
      </c>
      <c r="E583" s="44">
        <f>'Kalkulace a Porovnání'!E583</f>
        <v>0</v>
      </c>
      <c r="F583" s="44">
        <f>'Kalkulace a Porovnání'!F583</f>
        <v>0</v>
      </c>
      <c r="G583" s="44">
        <f>'Kalkulace a Porovnání'!G583</f>
        <v>0</v>
      </c>
      <c r="H583" s="30">
        <f>'Kalkulace a Porovnání'!H583</f>
        <v>0</v>
      </c>
      <c r="K583" s="12" t="s">
        <v>63</v>
      </c>
      <c r="L583" s="13" t="s">
        <v>67</v>
      </c>
      <c r="M583" s="3" t="s">
        <v>58</v>
      </c>
      <c r="N583" s="44">
        <f>'Kalkulace a Porovnání'!N583</f>
        <v>0</v>
      </c>
      <c r="O583" s="44">
        <f>'Kalkulace a Porovnání'!O583</f>
        <v>0</v>
      </c>
      <c r="P583" s="44">
        <f>'Kalkulace a Porovnání'!P583</f>
        <v>0</v>
      </c>
      <c r="Q583" s="30">
        <f>'Kalkulace a Porovnání'!Q583</f>
        <v>0</v>
      </c>
      <c r="T583" s="12" t="s">
        <v>63</v>
      </c>
      <c r="U583" s="13" t="s">
        <v>67</v>
      </c>
      <c r="V583" s="3" t="s">
        <v>58</v>
      </c>
      <c r="W583" s="44">
        <f>'Kalkulace a Porovnání'!W583</f>
        <v>0</v>
      </c>
      <c r="X583" s="44">
        <f>'Kalkulace a Porovnání'!X583</f>
        <v>0</v>
      </c>
      <c r="Y583" s="44">
        <f>'Kalkulace a Porovnání'!Y583</f>
        <v>0</v>
      </c>
      <c r="Z583" s="44">
        <f>'Kalkulace a Porovnání'!Z583</f>
        <v>0</v>
      </c>
      <c r="AA583" s="44">
        <f>'Kalkulace a Porovnání'!AA583</f>
        <v>0</v>
      </c>
      <c r="AB583" s="30">
        <f>'Kalkulace a Porovnání'!AB583</f>
        <v>0</v>
      </c>
      <c r="AC583" s="146"/>
      <c r="AD583" s="428"/>
      <c r="AG583" s="147"/>
      <c r="AH583" s="147"/>
      <c r="AI583" s="430"/>
      <c r="AJ583" s="430"/>
      <c r="AK583" s="428"/>
      <c r="AL583" s="146"/>
    </row>
    <row r="584" spans="2:38" x14ac:dyDescent="0.25">
      <c r="B584" s="12" t="s">
        <v>64</v>
      </c>
      <c r="C584" s="13" t="s">
        <v>68</v>
      </c>
      <c r="D584" s="3" t="s">
        <v>58</v>
      </c>
      <c r="E584" s="44">
        <f>'Kalkulace a Porovnání'!E584</f>
        <v>0</v>
      </c>
      <c r="F584" s="44">
        <f>'Kalkulace a Porovnání'!F584</f>
        <v>0</v>
      </c>
      <c r="G584" s="44">
        <f>'Kalkulace a Porovnání'!G584</f>
        <v>0</v>
      </c>
      <c r="H584" s="30">
        <f>'Kalkulace a Porovnání'!H584</f>
        <v>0</v>
      </c>
      <c r="K584" s="12" t="s">
        <v>64</v>
      </c>
      <c r="L584" s="13" t="s">
        <v>68</v>
      </c>
      <c r="M584" s="3" t="s">
        <v>58</v>
      </c>
      <c r="N584" s="44">
        <f>'Kalkulace a Porovnání'!N584</f>
        <v>0</v>
      </c>
      <c r="O584" s="44">
        <f>'Kalkulace a Porovnání'!O584</f>
        <v>0</v>
      </c>
      <c r="P584" s="44">
        <f>'Kalkulace a Porovnání'!P584</f>
        <v>0</v>
      </c>
      <c r="Q584" s="30">
        <f>'Kalkulace a Porovnání'!Q584</f>
        <v>0</v>
      </c>
      <c r="T584" s="12" t="s">
        <v>64</v>
      </c>
      <c r="U584" s="13" t="s">
        <v>68</v>
      </c>
      <c r="V584" s="3" t="s">
        <v>58</v>
      </c>
      <c r="W584" s="44">
        <f>'Kalkulace a Porovnání'!W584</f>
        <v>0</v>
      </c>
      <c r="X584" s="44">
        <f>'Kalkulace a Porovnání'!X584</f>
        <v>0</v>
      </c>
      <c r="Y584" s="44">
        <f>'Kalkulace a Porovnání'!Y584</f>
        <v>0</v>
      </c>
      <c r="Z584" s="44">
        <f>'Kalkulace a Porovnání'!Z584</f>
        <v>0</v>
      </c>
      <c r="AA584" s="44">
        <f>'Kalkulace a Porovnání'!AA584</f>
        <v>0</v>
      </c>
      <c r="AB584" s="30">
        <f>'Kalkulace a Porovnání'!AB584</f>
        <v>0</v>
      </c>
      <c r="AC584" s="146"/>
      <c r="AD584" s="428"/>
      <c r="AG584" s="147"/>
      <c r="AH584" s="147"/>
      <c r="AI584" s="430"/>
      <c r="AJ584" s="430"/>
      <c r="AK584" s="428"/>
      <c r="AL584" s="146"/>
    </row>
    <row r="585" spans="2:38" x14ac:dyDescent="0.25">
      <c r="B585" s="12" t="s">
        <v>66</v>
      </c>
      <c r="C585" s="13" t="s">
        <v>69</v>
      </c>
      <c r="D585" s="3" t="s">
        <v>58</v>
      </c>
      <c r="E585" s="44">
        <f>'Kalkulace a Porovnání'!E585</f>
        <v>0</v>
      </c>
      <c r="F585" s="44">
        <f>'Kalkulace a Porovnání'!F585</f>
        <v>0</v>
      </c>
      <c r="G585" s="44">
        <f>'Kalkulace a Porovnání'!G585</f>
        <v>0</v>
      </c>
      <c r="H585" s="30">
        <f>'Kalkulace a Porovnání'!H585</f>
        <v>0</v>
      </c>
      <c r="K585" s="12" t="s">
        <v>66</v>
      </c>
      <c r="L585" s="13" t="s">
        <v>69</v>
      </c>
      <c r="M585" s="3" t="s">
        <v>58</v>
      </c>
      <c r="N585" s="44">
        <f>'Kalkulace a Porovnání'!N585</f>
        <v>0</v>
      </c>
      <c r="O585" s="44">
        <f>'Kalkulace a Porovnání'!O585</f>
        <v>0</v>
      </c>
      <c r="P585" s="44">
        <f>'Kalkulace a Porovnání'!P585</f>
        <v>0</v>
      </c>
      <c r="Q585" s="30">
        <f>'Kalkulace a Porovnání'!Q585</f>
        <v>0</v>
      </c>
      <c r="T585" s="12" t="s">
        <v>66</v>
      </c>
      <c r="U585" s="13" t="s">
        <v>69</v>
      </c>
      <c r="V585" s="3" t="s">
        <v>58</v>
      </c>
      <c r="W585" s="44">
        <f>'Kalkulace a Porovnání'!W585</f>
        <v>0</v>
      </c>
      <c r="X585" s="44">
        <f>'Kalkulace a Porovnání'!X585</f>
        <v>0</v>
      </c>
      <c r="Y585" s="44">
        <f>'Kalkulace a Porovnání'!Y585</f>
        <v>0</v>
      </c>
      <c r="Z585" s="44">
        <f>'Kalkulace a Porovnání'!Z585</f>
        <v>0</v>
      </c>
      <c r="AA585" s="44">
        <f>'Kalkulace a Porovnání'!AA585</f>
        <v>0</v>
      </c>
      <c r="AB585" s="30">
        <f>'Kalkulace a Porovnání'!AB585</f>
        <v>0</v>
      </c>
      <c r="AC585" s="146"/>
      <c r="AD585" s="428"/>
      <c r="AG585" s="314"/>
      <c r="AH585" s="314"/>
      <c r="AI585" s="252"/>
      <c r="AJ585" s="252"/>
      <c r="AK585" s="428"/>
      <c r="AL585" s="146"/>
    </row>
    <row r="586" spans="2:38" x14ac:dyDescent="0.25">
      <c r="B586" s="1"/>
      <c r="C586" s="1"/>
      <c r="D586" s="1"/>
      <c r="E586" s="1"/>
      <c r="F586" s="1"/>
      <c r="G586" s="1"/>
      <c r="H586" s="1"/>
      <c r="K586" s="1"/>
      <c r="L586" s="1"/>
      <c r="M586" s="1"/>
      <c r="N586" s="1"/>
      <c r="O586" s="1"/>
      <c r="P586" s="1"/>
      <c r="Q586" s="1"/>
      <c r="T586" s="1"/>
      <c r="U586" s="1"/>
      <c r="V586" s="1"/>
      <c r="W586" s="1"/>
      <c r="X586" s="1"/>
      <c r="Y586" s="1"/>
      <c r="Z586" s="1"/>
      <c r="AA586" s="1"/>
      <c r="AB586" s="1"/>
      <c r="AC586" s="146"/>
      <c r="AD586" s="428"/>
      <c r="AG586" s="428"/>
      <c r="AH586" s="428"/>
      <c r="AI586" s="428"/>
      <c r="AJ586" s="428"/>
      <c r="AK586" s="428"/>
      <c r="AL586" s="146"/>
    </row>
    <row r="587" spans="2:38" x14ac:dyDescent="0.25">
      <c r="B587" s="1052" t="s">
        <v>5</v>
      </c>
      <c r="C587" s="884" t="s">
        <v>70</v>
      </c>
      <c r="D587" s="868"/>
      <c r="E587" s="1082"/>
      <c r="F587" s="1083"/>
      <c r="G587" s="868"/>
      <c r="H587" s="869"/>
      <c r="K587" s="1052" t="s">
        <v>5</v>
      </c>
      <c r="L587" s="884" t="s">
        <v>70</v>
      </c>
      <c r="M587" s="868"/>
      <c r="N587" s="1082"/>
      <c r="O587" s="1083"/>
      <c r="P587" s="868"/>
      <c r="Q587" s="869"/>
      <c r="T587" s="1098" t="s">
        <v>5</v>
      </c>
      <c r="U587" s="884" t="s">
        <v>70</v>
      </c>
      <c r="V587" s="868"/>
      <c r="W587" s="1082"/>
      <c r="X587" s="1082"/>
      <c r="Y587" s="1083"/>
      <c r="Z587" s="868"/>
      <c r="AA587" s="868"/>
      <c r="AB587" s="869"/>
      <c r="AC587" s="146"/>
      <c r="AD587" s="428"/>
      <c r="AG587" s="428"/>
      <c r="AH587" s="428"/>
      <c r="AI587" s="428"/>
      <c r="AJ587" s="428"/>
      <c r="AK587" s="428"/>
      <c r="AL587" s="146"/>
    </row>
    <row r="588" spans="2:38" x14ac:dyDescent="0.25">
      <c r="B588" s="1053"/>
      <c r="C588" s="1052" t="s">
        <v>71</v>
      </c>
      <c r="D588" s="1065" t="s">
        <v>133</v>
      </c>
      <c r="E588" s="1085" t="s">
        <v>102</v>
      </c>
      <c r="F588" s="1086"/>
      <c r="G588" s="85" t="s">
        <v>3</v>
      </c>
      <c r="H588" s="23" t="s">
        <v>4</v>
      </c>
      <c r="K588" s="1053"/>
      <c r="L588" s="5" t="s">
        <v>71</v>
      </c>
      <c r="M588" s="1065" t="s">
        <v>133</v>
      </c>
      <c r="N588" s="1085" t="s">
        <v>102</v>
      </c>
      <c r="O588" s="1086"/>
      <c r="P588" s="85" t="s">
        <v>3</v>
      </c>
      <c r="Q588" s="23" t="s">
        <v>4</v>
      </c>
      <c r="T588" s="1099"/>
      <c r="U588" s="1052" t="s">
        <v>71</v>
      </c>
      <c r="V588" s="1065" t="s">
        <v>133</v>
      </c>
      <c r="W588" s="1085" t="s">
        <v>102</v>
      </c>
      <c r="X588" s="1086"/>
      <c r="Y588" s="1085" t="s">
        <v>3</v>
      </c>
      <c r="Z588" s="1101"/>
      <c r="AA588" s="1102" t="s">
        <v>4</v>
      </c>
      <c r="AB588" s="1102"/>
      <c r="AC588" s="146"/>
      <c r="AD588" s="428"/>
      <c r="AG588" s="428"/>
      <c r="AH588" s="428"/>
      <c r="AI588" s="428"/>
      <c r="AJ588" s="428"/>
      <c r="AK588" s="428"/>
      <c r="AL588" s="146"/>
    </row>
    <row r="589" spans="2:38" x14ac:dyDescent="0.25">
      <c r="B589" s="1054"/>
      <c r="C589" s="1054"/>
      <c r="D589" s="1084"/>
      <c r="E589" s="1087"/>
      <c r="F589" s="1088"/>
      <c r="G589" s="26" t="s">
        <v>7</v>
      </c>
      <c r="H589" s="24" t="s">
        <v>7</v>
      </c>
      <c r="K589" s="1054"/>
      <c r="L589" s="8"/>
      <c r="M589" s="1084"/>
      <c r="N589" s="1087"/>
      <c r="O589" s="1088"/>
      <c r="P589" s="26" t="s">
        <v>7</v>
      </c>
      <c r="Q589" s="24" t="s">
        <v>7</v>
      </c>
      <c r="T589" s="1100"/>
      <c r="U589" s="1054"/>
      <c r="V589" s="1084"/>
      <c r="W589" s="1087"/>
      <c r="X589" s="1088"/>
      <c r="Y589" s="37" t="s">
        <v>148</v>
      </c>
      <c r="Z589" s="37" t="s">
        <v>7</v>
      </c>
      <c r="AA589" s="37" t="s">
        <v>148</v>
      </c>
      <c r="AB589" s="37" t="s">
        <v>7</v>
      </c>
      <c r="AC589" s="146"/>
      <c r="AD589" s="428"/>
      <c r="AG589" s="428"/>
      <c r="AH589" s="428"/>
      <c r="AI589" s="428"/>
      <c r="AJ589" s="428"/>
      <c r="AK589" s="428"/>
      <c r="AL589" s="146"/>
    </row>
    <row r="590" spans="2:38" x14ac:dyDescent="0.25">
      <c r="B590" s="11">
        <v>1</v>
      </c>
      <c r="C590" s="11">
        <v>2</v>
      </c>
      <c r="D590" s="11" t="s">
        <v>95</v>
      </c>
      <c r="E590" s="873" t="s">
        <v>99</v>
      </c>
      <c r="F590" s="874"/>
      <c r="G590" s="11" t="s">
        <v>100</v>
      </c>
      <c r="H590" s="22" t="s">
        <v>101</v>
      </c>
      <c r="K590" s="11">
        <v>1</v>
      </c>
      <c r="L590" s="11">
        <v>2</v>
      </c>
      <c r="M590" s="11" t="s">
        <v>95</v>
      </c>
      <c r="N590" s="873" t="s">
        <v>99</v>
      </c>
      <c r="O590" s="874"/>
      <c r="P590" s="11" t="s">
        <v>100</v>
      </c>
      <c r="Q590" s="22" t="s">
        <v>101</v>
      </c>
      <c r="T590" s="11">
        <v>1</v>
      </c>
      <c r="U590" s="11">
        <v>2</v>
      </c>
      <c r="V590" s="11" t="s">
        <v>95</v>
      </c>
      <c r="W590" s="1096" t="s">
        <v>99</v>
      </c>
      <c r="X590" s="1097"/>
      <c r="Y590" s="11" t="s">
        <v>153</v>
      </c>
      <c r="Z590" s="11" t="s">
        <v>100</v>
      </c>
      <c r="AA590" s="11" t="s">
        <v>152</v>
      </c>
      <c r="AB590" s="22" t="s">
        <v>101</v>
      </c>
      <c r="AC590" s="146"/>
      <c r="AD590" s="428"/>
      <c r="AG590" s="428"/>
      <c r="AH590" s="428"/>
      <c r="AI590" s="428"/>
      <c r="AJ590" s="428"/>
      <c r="AK590" s="428"/>
      <c r="AL590" s="146"/>
    </row>
    <row r="591" spans="2:38" x14ac:dyDescent="0.25">
      <c r="B591" s="12" t="s">
        <v>72</v>
      </c>
      <c r="C591" s="13" t="s">
        <v>104</v>
      </c>
      <c r="D591" s="13" t="s">
        <v>73</v>
      </c>
      <c r="E591" s="875" t="s">
        <v>403</v>
      </c>
      <c r="F591" s="859"/>
      <c r="G591" s="138">
        <f>'Kalkulace a Porovnání'!G591</f>
        <v>0</v>
      </c>
      <c r="H591" s="138">
        <f>'Kalkulace a Porovnání'!H591</f>
        <v>0</v>
      </c>
      <c r="K591" s="12" t="s">
        <v>72</v>
      </c>
      <c r="L591" s="13" t="s">
        <v>104</v>
      </c>
      <c r="M591" s="13" t="s">
        <v>73</v>
      </c>
      <c r="N591" s="875" t="s">
        <v>403</v>
      </c>
      <c r="O591" s="859"/>
      <c r="P591" s="138">
        <f>'Kalkulace a Porovnání'!P591</f>
        <v>0</v>
      </c>
      <c r="Q591" s="138">
        <f>'Kalkulace a Porovnání'!Q591</f>
        <v>0</v>
      </c>
      <c r="T591" s="12" t="s">
        <v>72</v>
      </c>
      <c r="U591" s="13" t="s">
        <v>104</v>
      </c>
      <c r="V591" s="13" t="s">
        <v>73</v>
      </c>
      <c r="W591" s="875" t="s">
        <v>403</v>
      </c>
      <c r="X591" s="859"/>
      <c r="Y591" s="138">
        <f>'Kalkulace a Porovnání'!Y591</f>
        <v>0</v>
      </c>
      <c r="Z591" s="138">
        <f>'Kalkulace a Porovnání'!Z591</f>
        <v>0</v>
      </c>
      <c r="AA591" s="138">
        <f>'Kalkulace a Porovnání'!AA591</f>
        <v>0</v>
      </c>
      <c r="AB591" s="138">
        <f>'Kalkulace a Porovnání'!AB591</f>
        <v>0</v>
      </c>
      <c r="AC591" s="146"/>
      <c r="AD591" s="428"/>
      <c r="AG591" s="428"/>
      <c r="AH591" s="428"/>
      <c r="AI591" s="428"/>
      <c r="AJ591" s="428"/>
      <c r="AK591" s="428"/>
      <c r="AL591" s="146"/>
    </row>
    <row r="592" spans="2:38" x14ac:dyDescent="0.25">
      <c r="B592" s="12" t="s">
        <v>74</v>
      </c>
      <c r="C592" s="13" t="s">
        <v>358</v>
      </c>
      <c r="D592" s="13" t="s">
        <v>10</v>
      </c>
      <c r="E592" s="858" t="s">
        <v>404</v>
      </c>
      <c r="F592" s="870"/>
      <c r="G592" s="138">
        <f>G593+G594</f>
        <v>0</v>
      </c>
      <c r="H592" s="138">
        <f>H593+H594</f>
        <v>0</v>
      </c>
      <c r="K592" s="12" t="s">
        <v>74</v>
      </c>
      <c r="L592" s="13" t="s">
        <v>358</v>
      </c>
      <c r="M592" s="13" t="s">
        <v>10</v>
      </c>
      <c r="N592" s="858" t="s">
        <v>404</v>
      </c>
      <c r="O592" s="870"/>
      <c r="P592" s="138">
        <f>P593+P594</f>
        <v>0</v>
      </c>
      <c r="Q592" s="138">
        <f>Q593+Q594</f>
        <v>0</v>
      </c>
      <c r="T592" s="12" t="s">
        <v>74</v>
      </c>
      <c r="U592" s="13" t="s">
        <v>358</v>
      </c>
      <c r="V592" s="13" t="s">
        <v>10</v>
      </c>
      <c r="W592" s="858" t="s">
        <v>404</v>
      </c>
      <c r="X592" s="870"/>
      <c r="Y592" s="138">
        <f t="shared" ref="Y592:AB592" si="7">Y593+Y594</f>
        <v>0</v>
      </c>
      <c r="Z592" s="138">
        <f t="shared" si="7"/>
        <v>0</v>
      </c>
      <c r="AA592" s="138">
        <f t="shared" si="7"/>
        <v>0</v>
      </c>
      <c r="AB592" s="138">
        <f t="shared" si="7"/>
        <v>0</v>
      </c>
      <c r="AC592" s="146"/>
      <c r="AD592" s="428"/>
      <c r="AG592" s="428"/>
      <c r="AH592" s="428"/>
      <c r="AI592" s="428"/>
      <c r="AJ592" s="428"/>
      <c r="AK592" s="428"/>
      <c r="AL592" s="146"/>
    </row>
    <row r="593" spans="2:38" x14ac:dyDescent="0.25">
      <c r="B593" s="12" t="s">
        <v>352</v>
      </c>
      <c r="C593" s="13" t="s">
        <v>359</v>
      </c>
      <c r="D593" s="13" t="s">
        <v>10</v>
      </c>
      <c r="E593" s="871"/>
      <c r="F593" s="872"/>
      <c r="G593" s="138">
        <f>'Kalkulace a Porovnání'!G593</f>
        <v>0</v>
      </c>
      <c r="H593" s="138">
        <f>'Kalkulace a Porovnání'!H593</f>
        <v>0</v>
      </c>
      <c r="K593" s="12" t="s">
        <v>352</v>
      </c>
      <c r="L593" s="13" t="s">
        <v>359</v>
      </c>
      <c r="M593" s="13" t="s">
        <v>10</v>
      </c>
      <c r="N593" s="871"/>
      <c r="O593" s="872"/>
      <c r="P593" s="138">
        <f>'Kalkulace a Porovnání'!P593</f>
        <v>0</v>
      </c>
      <c r="Q593" s="138">
        <f>'Kalkulace a Porovnání'!Q593</f>
        <v>0</v>
      </c>
      <c r="T593" s="12" t="s">
        <v>352</v>
      </c>
      <c r="U593" s="13" t="s">
        <v>359</v>
      </c>
      <c r="V593" s="13" t="s">
        <v>10</v>
      </c>
      <c r="W593" s="871"/>
      <c r="X593" s="872"/>
      <c r="Y593" s="138">
        <f>'Kalkulace a Porovnání'!Y593</f>
        <v>0</v>
      </c>
      <c r="Z593" s="138">
        <f>'Kalkulace a Porovnání'!Z593</f>
        <v>0</v>
      </c>
      <c r="AA593" s="138">
        <f>'Kalkulace a Porovnání'!AA593</f>
        <v>0</v>
      </c>
      <c r="AB593" s="138">
        <f>'Kalkulace a Porovnání'!AB593</f>
        <v>0</v>
      </c>
      <c r="AC593" s="146"/>
      <c r="AD593" s="428"/>
      <c r="AG593" s="428"/>
      <c r="AH593" s="428"/>
      <c r="AI593" s="428"/>
      <c r="AJ593" s="428"/>
      <c r="AK593" s="428"/>
      <c r="AL593" s="146"/>
    </row>
    <row r="594" spans="2:38" x14ac:dyDescent="0.25">
      <c r="B594" s="12" t="s">
        <v>361</v>
      </c>
      <c r="C594" s="13" t="s">
        <v>360</v>
      </c>
      <c r="D594" s="13" t="s">
        <v>10</v>
      </c>
      <c r="E594" s="884"/>
      <c r="F594" s="869"/>
      <c r="G594" s="138">
        <f>'Kalkulace a Porovnání'!G594</f>
        <v>0</v>
      </c>
      <c r="H594" s="138">
        <f>'Kalkulace a Porovnání'!H594</f>
        <v>0</v>
      </c>
      <c r="K594" s="12" t="s">
        <v>361</v>
      </c>
      <c r="L594" s="13" t="s">
        <v>360</v>
      </c>
      <c r="M594" s="13" t="s">
        <v>10</v>
      </c>
      <c r="N594" s="884"/>
      <c r="O594" s="869"/>
      <c r="P594" s="138">
        <f>'Kalkulace a Porovnání'!P594</f>
        <v>0</v>
      </c>
      <c r="Q594" s="138">
        <f>'Kalkulace a Porovnání'!Q594</f>
        <v>0</v>
      </c>
      <c r="T594" s="12" t="s">
        <v>361</v>
      </c>
      <c r="U594" s="13" t="s">
        <v>360</v>
      </c>
      <c r="V594" s="13" t="s">
        <v>10</v>
      </c>
      <c r="W594" s="884"/>
      <c r="X594" s="869"/>
      <c r="Y594" s="138">
        <f>'Kalkulace a Porovnání'!Y594</f>
        <v>0</v>
      </c>
      <c r="Z594" s="138">
        <f>'Kalkulace a Porovnání'!Z594</f>
        <v>0</v>
      </c>
      <c r="AA594" s="138">
        <f>'Kalkulace a Porovnání'!AA594</f>
        <v>0</v>
      </c>
      <c r="AB594" s="138">
        <f>'Kalkulace a Porovnání'!AB594</f>
        <v>0</v>
      </c>
      <c r="AC594" s="146"/>
      <c r="AD594" s="428"/>
      <c r="AG594" s="428"/>
      <c r="AH594" s="428"/>
      <c r="AI594" s="428"/>
      <c r="AJ594" s="428"/>
      <c r="AK594" s="428"/>
      <c r="AL594" s="146"/>
    </row>
    <row r="595" spans="2:38" x14ac:dyDescent="0.25">
      <c r="B595" s="12" t="s">
        <v>75</v>
      </c>
      <c r="C595" s="13" t="s">
        <v>396</v>
      </c>
      <c r="D595" s="13" t="s">
        <v>10</v>
      </c>
      <c r="E595" s="858" t="s">
        <v>405</v>
      </c>
      <c r="F595" s="859"/>
      <c r="G595" s="341">
        <f>'Kalkulace a Porovnání'!G595</f>
        <v>0</v>
      </c>
      <c r="H595" s="341">
        <f>'Kalkulace a Porovnání'!H595</f>
        <v>0</v>
      </c>
      <c r="K595" s="12" t="s">
        <v>75</v>
      </c>
      <c r="L595" s="13" t="s">
        <v>396</v>
      </c>
      <c r="M595" s="13" t="s">
        <v>10</v>
      </c>
      <c r="N595" s="858" t="s">
        <v>405</v>
      </c>
      <c r="O595" s="859"/>
      <c r="P595" s="341">
        <f>'Kalkulace a Porovnání'!P595</f>
        <v>0</v>
      </c>
      <c r="Q595" s="341">
        <f>'Kalkulace a Porovnání'!Q595</f>
        <v>0</v>
      </c>
      <c r="T595" s="12" t="s">
        <v>75</v>
      </c>
      <c r="U595" s="13" t="s">
        <v>396</v>
      </c>
      <c r="V595" s="13" t="s">
        <v>10</v>
      </c>
      <c r="W595" s="858" t="s">
        <v>405</v>
      </c>
      <c r="X595" s="859"/>
      <c r="Y595" s="341">
        <f>'Kalkulace a Porovnání'!Y595</f>
        <v>0</v>
      </c>
      <c r="Z595" s="341">
        <f>'Kalkulace a Porovnání'!Z595</f>
        <v>0</v>
      </c>
      <c r="AA595" s="341">
        <f>'Kalkulace a Porovnání'!AA595</f>
        <v>0</v>
      </c>
      <c r="AB595" s="341">
        <f>'Kalkulace a Porovnání'!AB595</f>
        <v>0</v>
      </c>
      <c r="AC595" s="146"/>
      <c r="AD595" s="428"/>
      <c r="AG595" s="428"/>
      <c r="AH595" s="428"/>
      <c r="AI595" s="428"/>
      <c r="AJ595" s="428"/>
      <c r="AK595" s="428"/>
      <c r="AL595" s="146"/>
    </row>
    <row r="596" spans="2:38" x14ac:dyDescent="0.25">
      <c r="B596" s="12" t="s">
        <v>76</v>
      </c>
      <c r="C596" s="13" t="s">
        <v>373</v>
      </c>
      <c r="D596" s="13" t="s">
        <v>10</v>
      </c>
      <c r="E596" s="858"/>
      <c r="F596" s="859"/>
      <c r="G596" s="341">
        <f>'Kalkulace a Porovnání'!G596</f>
        <v>0</v>
      </c>
      <c r="H596" s="341">
        <f>'Kalkulace a Porovnání'!H596</f>
        <v>0</v>
      </c>
      <c r="K596" s="12" t="s">
        <v>76</v>
      </c>
      <c r="L596" s="13" t="s">
        <v>373</v>
      </c>
      <c r="M596" s="13" t="s">
        <v>10</v>
      </c>
      <c r="N596" s="858"/>
      <c r="O596" s="859"/>
      <c r="P596" s="341">
        <f>'Kalkulace a Porovnání'!P596</f>
        <v>0</v>
      </c>
      <c r="Q596" s="341">
        <f>'Kalkulace a Porovnání'!Q596</f>
        <v>0</v>
      </c>
      <c r="T596" s="12" t="s">
        <v>76</v>
      </c>
      <c r="U596" s="13" t="s">
        <v>373</v>
      </c>
      <c r="V596" s="13" t="s">
        <v>10</v>
      </c>
      <c r="W596" s="858"/>
      <c r="X596" s="859"/>
      <c r="Y596" s="341">
        <f>'Kalkulace a Porovnání'!Y596</f>
        <v>2.3999896640999999E-2</v>
      </c>
      <c r="Z596" s="341">
        <f>'Kalkulace a Porovnání'!Z596</f>
        <v>0</v>
      </c>
      <c r="AA596" s="341">
        <f>'Kalkulace a Porovnání'!AA596</f>
        <v>0.100000278</v>
      </c>
      <c r="AB596" s="341">
        <f>'Kalkulace a Porovnání'!AB596</f>
        <v>0</v>
      </c>
      <c r="AC596" s="146"/>
      <c r="AD596" s="428"/>
      <c r="AG596" s="428"/>
      <c r="AH596" s="428"/>
      <c r="AI596" s="428"/>
      <c r="AJ596" s="428"/>
      <c r="AK596" s="428"/>
      <c r="AL596" s="146"/>
    </row>
    <row r="597" spans="2:38" x14ac:dyDescent="0.25">
      <c r="B597" s="12" t="s">
        <v>78</v>
      </c>
      <c r="C597" s="21" t="s">
        <v>402</v>
      </c>
      <c r="D597" s="13" t="s">
        <v>77</v>
      </c>
      <c r="E597" s="875" t="s">
        <v>406</v>
      </c>
      <c r="F597" s="859"/>
      <c r="G597" s="138">
        <f>'Kalkulace a Porovnání'!G597</f>
        <v>0</v>
      </c>
      <c r="H597" s="138">
        <f>'Kalkulace a Porovnání'!H597</f>
        <v>0</v>
      </c>
      <c r="K597" s="12" t="s">
        <v>78</v>
      </c>
      <c r="L597" s="21" t="s">
        <v>402</v>
      </c>
      <c r="M597" s="13" t="s">
        <v>77</v>
      </c>
      <c r="N597" s="875" t="s">
        <v>406</v>
      </c>
      <c r="O597" s="859"/>
      <c r="P597" s="138">
        <f>'Kalkulace a Porovnání'!P597</f>
        <v>0</v>
      </c>
      <c r="Q597" s="138">
        <f>'Kalkulace a Porovnání'!Q597</f>
        <v>0</v>
      </c>
      <c r="T597" s="12" t="s">
        <v>78</v>
      </c>
      <c r="U597" s="21" t="s">
        <v>402</v>
      </c>
      <c r="V597" s="13" t="s">
        <v>77</v>
      </c>
      <c r="W597" s="875" t="s">
        <v>406</v>
      </c>
      <c r="X597" s="859"/>
      <c r="Y597" s="138">
        <f>'Kalkulace a Porovnání'!Y597</f>
        <v>0</v>
      </c>
      <c r="Z597" s="138">
        <f>'Kalkulace a Porovnání'!Z597</f>
        <v>0</v>
      </c>
      <c r="AA597" s="138">
        <f>'Kalkulace a Porovnání'!AA597</f>
        <v>0</v>
      </c>
      <c r="AB597" s="138">
        <f>'Kalkulace a Porovnání'!AB597</f>
        <v>0</v>
      </c>
      <c r="AC597" s="146"/>
      <c r="AD597" s="428"/>
      <c r="AG597" s="428"/>
      <c r="AH597" s="428"/>
      <c r="AI597" s="428"/>
      <c r="AJ597" s="428"/>
      <c r="AK597" s="428"/>
      <c r="AL597" s="146"/>
    </row>
    <row r="598" spans="2:38" x14ac:dyDescent="0.25">
      <c r="B598" s="12" t="s">
        <v>79</v>
      </c>
      <c r="C598" s="21" t="s">
        <v>408</v>
      </c>
      <c r="D598" s="13" t="s">
        <v>10</v>
      </c>
      <c r="E598" s="858" t="s">
        <v>407</v>
      </c>
      <c r="F598" s="859"/>
      <c r="G598" s="341">
        <f>'Kalkulace a Porovnání'!G598</f>
        <v>0</v>
      </c>
      <c r="H598" s="341">
        <f>'Kalkulace a Porovnání'!H598</f>
        <v>0</v>
      </c>
      <c r="K598" s="12" t="s">
        <v>79</v>
      </c>
      <c r="L598" s="21" t="s">
        <v>408</v>
      </c>
      <c r="M598" s="13" t="s">
        <v>10</v>
      </c>
      <c r="N598" s="858" t="s">
        <v>407</v>
      </c>
      <c r="O598" s="859"/>
      <c r="P598" s="341">
        <f>'Kalkulace a Porovnání'!P598</f>
        <v>0</v>
      </c>
      <c r="Q598" s="341">
        <f>'Kalkulace a Porovnání'!Q598</f>
        <v>0</v>
      </c>
      <c r="T598" s="12" t="s">
        <v>79</v>
      </c>
      <c r="U598" s="21" t="s">
        <v>408</v>
      </c>
      <c r="V598" s="13" t="s">
        <v>10</v>
      </c>
      <c r="W598" s="858" t="s">
        <v>407</v>
      </c>
      <c r="X598" s="859"/>
      <c r="Y598" s="341">
        <f>'Kalkulace a Porovnání'!Y598</f>
        <v>0</v>
      </c>
      <c r="Z598" s="341">
        <f>'Kalkulace a Porovnání'!Z598</f>
        <v>0</v>
      </c>
      <c r="AA598" s="341">
        <f>'Kalkulace a Porovnání'!AA598</f>
        <v>0</v>
      </c>
      <c r="AB598" s="341">
        <f>'Kalkulace a Porovnání'!AB598</f>
        <v>0</v>
      </c>
      <c r="AC598" s="146"/>
      <c r="AD598" s="428"/>
      <c r="AG598" s="428"/>
      <c r="AH598" s="428"/>
      <c r="AI598" s="428"/>
      <c r="AJ598" s="428"/>
      <c r="AK598" s="428"/>
      <c r="AL598" s="146"/>
    </row>
    <row r="599" spans="2:38" x14ac:dyDescent="0.25">
      <c r="B599" s="12" t="s">
        <v>80</v>
      </c>
      <c r="C599" s="21" t="s">
        <v>354</v>
      </c>
      <c r="D599" s="13" t="s">
        <v>10</v>
      </c>
      <c r="E599" s="858" t="s">
        <v>409</v>
      </c>
      <c r="F599" s="870"/>
      <c r="G599" s="341">
        <f>'Kalkulace a Porovnání'!G599</f>
        <v>0</v>
      </c>
      <c r="H599" s="341">
        <f>'Kalkulace a Porovnání'!H599</f>
        <v>0</v>
      </c>
      <c r="K599" s="12" t="s">
        <v>80</v>
      </c>
      <c r="L599" s="21" t="s">
        <v>354</v>
      </c>
      <c r="M599" s="13" t="s">
        <v>10</v>
      </c>
      <c r="N599" s="858" t="s">
        <v>409</v>
      </c>
      <c r="O599" s="870"/>
      <c r="P599" s="341">
        <f>'Kalkulace a Porovnání'!P599</f>
        <v>0</v>
      </c>
      <c r="Q599" s="341">
        <f>'Kalkulace a Porovnání'!Q599</f>
        <v>0</v>
      </c>
      <c r="T599" s="12" t="s">
        <v>80</v>
      </c>
      <c r="U599" s="21" t="s">
        <v>354</v>
      </c>
      <c r="V599" s="13" t="s">
        <v>10</v>
      </c>
      <c r="W599" s="858" t="s">
        <v>409</v>
      </c>
      <c r="X599" s="870"/>
      <c r="Y599" s="341">
        <f>'Kalkulace a Porovnání'!Y599</f>
        <v>2.3999896640999999E-2</v>
      </c>
      <c r="Z599" s="341">
        <f>'Kalkulace a Porovnání'!Z599</f>
        <v>0</v>
      </c>
      <c r="AA599" s="341">
        <f>'Kalkulace a Porovnání'!AA599</f>
        <v>0.100000278</v>
      </c>
      <c r="AB599" s="341">
        <f>'Kalkulace a Porovnání'!AB599</f>
        <v>0</v>
      </c>
      <c r="AC599" s="146"/>
      <c r="AD599" s="428"/>
      <c r="AG599" s="428"/>
      <c r="AH599" s="428"/>
      <c r="AI599" s="428"/>
      <c r="AJ599" s="428"/>
      <c r="AK599" s="428"/>
      <c r="AL599" s="146"/>
    </row>
    <row r="600" spans="2:38" x14ac:dyDescent="0.25">
      <c r="B600" s="12" t="s">
        <v>82</v>
      </c>
      <c r="C600" s="13" t="s">
        <v>395</v>
      </c>
      <c r="D600" s="13" t="s">
        <v>10</v>
      </c>
      <c r="E600" s="858" t="s">
        <v>410</v>
      </c>
      <c r="F600" s="859"/>
      <c r="G600" s="341">
        <f>'Kalkulace a Porovnání'!G600</f>
        <v>0</v>
      </c>
      <c r="H600" s="341">
        <f>'Kalkulace a Porovnání'!H600</f>
        <v>0</v>
      </c>
      <c r="K600" s="12" t="s">
        <v>82</v>
      </c>
      <c r="L600" s="13" t="s">
        <v>395</v>
      </c>
      <c r="M600" s="13" t="s">
        <v>10</v>
      </c>
      <c r="N600" s="858" t="s">
        <v>410</v>
      </c>
      <c r="O600" s="859"/>
      <c r="P600" s="341">
        <f>'Kalkulace a Porovnání'!P600</f>
        <v>0</v>
      </c>
      <c r="Q600" s="341">
        <f>'Kalkulace a Porovnání'!Q600</f>
        <v>0</v>
      </c>
      <c r="T600" s="12" t="s">
        <v>82</v>
      </c>
      <c r="U600" s="13" t="s">
        <v>395</v>
      </c>
      <c r="V600" s="13" t="s">
        <v>10</v>
      </c>
      <c r="W600" s="858" t="s">
        <v>410</v>
      </c>
      <c r="X600" s="859"/>
      <c r="Y600" s="341">
        <f>'Kalkulace a Porovnání'!Y600</f>
        <v>2.3999896640999999E-2</v>
      </c>
      <c r="Z600" s="341">
        <f>'Kalkulace a Porovnání'!Z600</f>
        <v>0</v>
      </c>
      <c r="AA600" s="341">
        <f>'Kalkulace a Porovnání'!AA600</f>
        <v>0.100000278</v>
      </c>
      <c r="AB600" s="341">
        <f>'Kalkulace a Porovnání'!AB600</f>
        <v>0</v>
      </c>
      <c r="AC600" s="146"/>
      <c r="AD600" s="428"/>
      <c r="AG600" s="428"/>
      <c r="AH600" s="428"/>
      <c r="AI600" s="428"/>
      <c r="AJ600" s="428"/>
      <c r="AK600" s="428"/>
      <c r="AL600" s="146"/>
    </row>
    <row r="601" spans="2:38" x14ac:dyDescent="0.25">
      <c r="B601" s="12" t="s">
        <v>83</v>
      </c>
      <c r="C601" s="13" t="s">
        <v>81</v>
      </c>
      <c r="D601" s="13" t="s">
        <v>58</v>
      </c>
      <c r="E601" s="858" t="s">
        <v>411</v>
      </c>
      <c r="F601" s="859"/>
      <c r="G601" s="341">
        <f>'Kalkulace a Porovnání'!G601</f>
        <v>0</v>
      </c>
      <c r="H601" s="341">
        <f>'Kalkulace a Porovnání'!H601</f>
        <v>0</v>
      </c>
      <c r="K601" s="12" t="s">
        <v>83</v>
      </c>
      <c r="L601" s="13" t="s">
        <v>81</v>
      </c>
      <c r="M601" s="13" t="s">
        <v>58</v>
      </c>
      <c r="N601" s="858" t="s">
        <v>411</v>
      </c>
      <c r="O601" s="859"/>
      <c r="P601" s="341">
        <f>'Kalkulace a Porovnání'!P601</f>
        <v>0</v>
      </c>
      <c r="Q601" s="341">
        <f>'Kalkulace a Porovnání'!Q601</f>
        <v>0</v>
      </c>
      <c r="T601" s="12" t="s">
        <v>83</v>
      </c>
      <c r="U601" s="13" t="s">
        <v>81</v>
      </c>
      <c r="V601" s="13" t="s">
        <v>58</v>
      </c>
      <c r="W601" s="858" t="s">
        <v>411</v>
      </c>
      <c r="X601" s="859"/>
      <c r="Y601" s="341">
        <f>'Kalkulace a Porovnání'!Y601</f>
        <v>0</v>
      </c>
      <c r="Z601" s="341">
        <f>'Kalkulace a Porovnání'!Z601</f>
        <v>0</v>
      </c>
      <c r="AA601" s="341">
        <f>'Kalkulace a Porovnání'!AA601</f>
        <v>0</v>
      </c>
      <c r="AB601" s="341">
        <f>'Kalkulace a Porovnání'!AB601</f>
        <v>0</v>
      </c>
      <c r="AC601" s="146"/>
      <c r="AD601" s="428"/>
      <c r="AG601" s="428"/>
      <c r="AH601" s="428"/>
      <c r="AI601" s="428"/>
      <c r="AJ601" s="428"/>
      <c r="AK601" s="428"/>
      <c r="AL601" s="146"/>
    </row>
    <row r="602" spans="2:38" x14ac:dyDescent="0.25">
      <c r="B602" s="12" t="s">
        <v>155</v>
      </c>
      <c r="C602" s="13" t="s">
        <v>393</v>
      </c>
      <c r="D602" s="13" t="s">
        <v>73</v>
      </c>
      <c r="E602" s="854" t="s">
        <v>412</v>
      </c>
      <c r="F602" s="855"/>
      <c r="G602" s="138">
        <f>'Kalkulace a Porovnání'!G602</f>
        <v>0</v>
      </c>
      <c r="H602" s="138">
        <f>'Kalkulace a Porovnání'!H602</f>
        <v>0</v>
      </c>
      <c r="K602" s="12" t="s">
        <v>155</v>
      </c>
      <c r="L602" s="13" t="s">
        <v>393</v>
      </c>
      <c r="M602" s="13" t="s">
        <v>73</v>
      </c>
      <c r="N602" s="854" t="s">
        <v>412</v>
      </c>
      <c r="O602" s="855"/>
      <c r="P602" s="138">
        <f>'Kalkulace a Porovnání'!P602</f>
        <v>0</v>
      </c>
      <c r="Q602" s="138">
        <f>'Kalkulace a Porovnání'!Q602</f>
        <v>0</v>
      </c>
      <c r="T602" s="12" t="s">
        <v>155</v>
      </c>
      <c r="U602" s="13" t="s">
        <v>393</v>
      </c>
      <c r="V602" s="13" t="s">
        <v>73</v>
      </c>
      <c r="W602" s="854" t="s">
        <v>412</v>
      </c>
      <c r="X602" s="855"/>
      <c r="Y602" s="138">
        <f>'Kalkulace a Porovnání'!Y602</f>
        <v>0</v>
      </c>
      <c r="Z602" s="138">
        <f>'Kalkulace a Porovnání'!Z602</f>
        <v>0</v>
      </c>
      <c r="AA602" s="138">
        <f>'Kalkulace a Porovnání'!AA602</f>
        <v>0</v>
      </c>
      <c r="AB602" s="138">
        <f>'Kalkulace a Porovnání'!AB602</f>
        <v>0</v>
      </c>
      <c r="AC602" s="146"/>
      <c r="AD602" s="428"/>
      <c r="AG602" s="428"/>
      <c r="AH602" s="428"/>
      <c r="AI602" s="428"/>
      <c r="AJ602" s="428"/>
      <c r="AK602" s="428"/>
      <c r="AL602" s="146"/>
    </row>
    <row r="603" spans="2:38" x14ac:dyDescent="0.25">
      <c r="B603" s="12" t="s">
        <v>355</v>
      </c>
      <c r="C603" s="13" t="str">
        <f>CONCATENATE("UPLATŇOVANÁ CENA pro vodné, stočné + ",Provozování!E589*100,"% DPH")</f>
        <v>UPLATŇOVANÁ CENA pro vodné, stočné + 0% DPH</v>
      </c>
      <c r="D603" s="13" t="s">
        <v>73</v>
      </c>
      <c r="E603" s="854" t="s">
        <v>413</v>
      </c>
      <c r="F603" s="855"/>
      <c r="G603" s="138">
        <f>'Kalkulace a Porovnání'!G603</f>
        <v>0</v>
      </c>
      <c r="H603" s="138">
        <f>'Kalkulace a Porovnání'!H603</f>
        <v>0</v>
      </c>
      <c r="K603" s="12" t="s">
        <v>355</v>
      </c>
      <c r="L603" s="13" t="str">
        <f>C603</f>
        <v>UPLATŇOVANÁ CENA pro vodné, stočné + 0% DPH</v>
      </c>
      <c r="M603" s="13" t="s">
        <v>73</v>
      </c>
      <c r="N603" s="854" t="s">
        <v>413</v>
      </c>
      <c r="O603" s="855"/>
      <c r="P603" s="138">
        <f>'Kalkulace a Porovnání'!P603</f>
        <v>0</v>
      </c>
      <c r="Q603" s="138">
        <f>'Kalkulace a Porovnání'!Q603</f>
        <v>0</v>
      </c>
      <c r="T603" s="12" t="s">
        <v>355</v>
      </c>
      <c r="U603" s="13" t="str">
        <f>C603</f>
        <v>UPLATŇOVANÁ CENA pro vodné, stočné + 0% DPH</v>
      </c>
      <c r="V603" s="13" t="s">
        <v>73</v>
      </c>
      <c r="W603" s="854" t="s">
        <v>413</v>
      </c>
      <c r="X603" s="855"/>
      <c r="Y603" s="138">
        <f>'Kalkulace a Porovnání'!Y603</f>
        <v>0</v>
      </c>
      <c r="Z603" s="138">
        <f>'Kalkulace a Porovnání'!Z603</f>
        <v>0</v>
      </c>
      <c r="AA603" s="138">
        <f>'Kalkulace a Porovnání'!AA603</f>
        <v>0</v>
      </c>
      <c r="AB603" s="138">
        <f>'Kalkulace a Porovnání'!AB603</f>
        <v>0</v>
      </c>
      <c r="AC603" s="146"/>
      <c r="AD603" s="428"/>
      <c r="AG603" s="428"/>
      <c r="AH603" s="428"/>
      <c r="AI603" s="428"/>
      <c r="AJ603" s="428"/>
      <c r="AK603" s="428"/>
      <c r="AL603" s="146"/>
    </row>
    <row r="604" spans="2:38" x14ac:dyDescent="0.25">
      <c r="B604" s="210" t="s">
        <v>356</v>
      </c>
      <c r="C604" s="244" t="s">
        <v>357</v>
      </c>
      <c r="D604" s="244"/>
      <c r="E604" s="884" t="s">
        <v>414</v>
      </c>
      <c r="F604" s="869"/>
      <c r="G604" s="138">
        <f>'Kalkulace a Porovnání'!G604</f>
        <v>0</v>
      </c>
      <c r="H604" s="138">
        <f>'Kalkulace a Porovnání'!H604</f>
        <v>0</v>
      </c>
      <c r="K604" s="210" t="s">
        <v>356</v>
      </c>
      <c r="L604" s="244" t="s">
        <v>357</v>
      </c>
      <c r="M604" s="244"/>
      <c r="N604" s="884" t="s">
        <v>414</v>
      </c>
      <c r="O604" s="869"/>
      <c r="P604" s="138">
        <f>'Kalkulace a Porovnání'!P604</f>
        <v>0</v>
      </c>
      <c r="Q604" s="138">
        <f>'Kalkulace a Porovnání'!Q604</f>
        <v>0</v>
      </c>
      <c r="T604" s="12" t="s">
        <v>356</v>
      </c>
      <c r="U604" s="13" t="s">
        <v>357</v>
      </c>
      <c r="V604" s="13"/>
      <c r="W604" s="884" t="s">
        <v>414</v>
      </c>
      <c r="X604" s="869"/>
      <c r="Y604" s="530">
        <f>'Kalkulace a Porovnání'!Y604</f>
        <v>0</v>
      </c>
      <c r="Z604" s="530">
        <f>'Kalkulace a Porovnání'!Z604</f>
        <v>0</v>
      </c>
      <c r="AA604" s="530">
        <f>'Kalkulace a Porovnání'!AA604</f>
        <v>0</v>
      </c>
      <c r="AB604" s="530">
        <f>'Kalkulace a Porovnání'!AB604</f>
        <v>0</v>
      </c>
      <c r="AC604" s="146"/>
      <c r="AD604" s="428"/>
      <c r="AG604" s="428"/>
      <c r="AH604" s="428"/>
      <c r="AI604" s="428"/>
      <c r="AJ604" s="428"/>
      <c r="AK604" s="428"/>
      <c r="AL604" s="146"/>
    </row>
    <row r="605" spans="2:38" x14ac:dyDescent="0.25">
      <c r="B605" s="29"/>
      <c r="C605" s="29"/>
      <c r="D605" s="29"/>
      <c r="E605" s="29"/>
      <c r="F605" s="29"/>
      <c r="G605" s="29"/>
      <c r="H605" s="29"/>
      <c r="I605" s="29"/>
      <c r="J605" s="29"/>
      <c r="K605" s="29"/>
      <c r="L605" s="29"/>
      <c r="M605" s="29"/>
      <c r="N605" s="29"/>
      <c r="O605" s="29"/>
      <c r="P605" s="29"/>
      <c r="Q605" s="29"/>
      <c r="R605" s="29"/>
      <c r="T605" s="1121" t="s">
        <v>364</v>
      </c>
      <c r="U605" s="1121" t="s">
        <v>154</v>
      </c>
      <c r="V605" s="1122" t="s">
        <v>10</v>
      </c>
      <c r="W605" s="854" t="s">
        <v>156</v>
      </c>
      <c r="X605" s="858"/>
      <c r="Y605" s="89" t="s">
        <v>158</v>
      </c>
      <c r="Z605" s="92" t="s">
        <v>159</v>
      </c>
      <c r="AA605" s="89" t="s">
        <v>158</v>
      </c>
      <c r="AB605" s="92" t="s">
        <v>159</v>
      </c>
      <c r="AC605" s="146"/>
      <c r="AD605" s="428"/>
      <c r="AG605" s="428"/>
      <c r="AH605" s="428"/>
      <c r="AI605" s="428"/>
      <c r="AJ605" s="428"/>
      <c r="AK605" s="428"/>
      <c r="AL605" s="146"/>
    </row>
    <row r="606" spans="2:38" x14ac:dyDescent="0.25">
      <c r="B606" s="383"/>
      <c r="C606" s="382"/>
      <c r="D606" s="382"/>
      <c r="E606" s="382"/>
      <c r="F606" s="382"/>
      <c r="G606" s="29"/>
      <c r="H606" s="29"/>
      <c r="I606" s="29"/>
      <c r="J606" s="29"/>
      <c r="K606" s="29"/>
      <c r="L606" s="29"/>
      <c r="M606" s="29"/>
      <c r="N606" s="29"/>
      <c r="O606" s="29"/>
      <c r="P606" s="29"/>
      <c r="Q606" s="29"/>
      <c r="R606" s="29"/>
      <c r="T606" s="1121"/>
      <c r="U606" s="1121"/>
      <c r="V606" s="1122"/>
      <c r="W606" s="1123">
        <f>'Kalkulace a Porovnání'!W606</f>
        <v>0</v>
      </c>
      <c r="X606" s="1124"/>
      <c r="Y606" s="90">
        <f>'Kalkulace a Porovnání'!Y606</f>
        <v>2031</v>
      </c>
      <c r="Z606" s="90">
        <f>'Kalkulace a Porovnání'!Z606</f>
        <v>2031</v>
      </c>
      <c r="AA606" s="90">
        <f>'Kalkulace a Porovnání'!AA606</f>
        <v>2031</v>
      </c>
      <c r="AB606" s="90">
        <f>'Kalkulace a Porovnání'!AB606</f>
        <v>2031</v>
      </c>
      <c r="AC606" s="146"/>
      <c r="AD606" s="428"/>
      <c r="AG606" s="428"/>
      <c r="AH606" s="428"/>
      <c r="AI606" s="428"/>
      <c r="AJ606" s="428"/>
      <c r="AK606" s="428"/>
      <c r="AL606" s="146"/>
    </row>
    <row r="607" spans="2:38" x14ac:dyDescent="0.25">
      <c r="B607" s="383"/>
      <c r="C607" s="382"/>
      <c r="D607" s="382"/>
      <c r="E607" s="382"/>
      <c r="F607" s="382"/>
      <c r="G607" s="29"/>
      <c r="H607" s="29"/>
      <c r="I607" s="29"/>
      <c r="J607" s="29"/>
      <c r="K607" s="29"/>
      <c r="L607" s="29"/>
      <c r="M607" s="29"/>
      <c r="N607" s="29"/>
      <c r="O607" s="29"/>
      <c r="P607" s="29"/>
      <c r="Q607" s="29"/>
      <c r="R607" s="29"/>
      <c r="T607" s="1121"/>
      <c r="U607" s="1121"/>
      <c r="V607" s="1122"/>
      <c r="W607" s="854" t="s">
        <v>157</v>
      </c>
      <c r="X607" s="858"/>
      <c r="Y607" s="91" t="s">
        <v>160</v>
      </c>
      <c r="Z607" s="91" t="s">
        <v>160</v>
      </c>
      <c r="AA607" s="91" t="s">
        <v>161</v>
      </c>
      <c r="AB607" s="91" t="s">
        <v>161</v>
      </c>
      <c r="AC607" s="146"/>
      <c r="AD607" s="428"/>
      <c r="AG607" s="428"/>
      <c r="AH607" s="428"/>
      <c r="AI607" s="428"/>
      <c r="AJ607" s="428"/>
      <c r="AK607" s="428"/>
      <c r="AL607" s="146"/>
    </row>
    <row r="608" spans="2:38" x14ac:dyDescent="0.25">
      <c r="B608" s="382"/>
      <c r="C608" s="382"/>
      <c r="D608" s="382"/>
      <c r="E608" s="382"/>
      <c r="F608" s="382"/>
      <c r="G608" s="29"/>
      <c r="H608" s="29"/>
      <c r="I608" s="29"/>
      <c r="J608" s="29"/>
      <c r="K608" s="29"/>
      <c r="L608" s="29"/>
      <c r="M608" s="29"/>
      <c r="N608" s="29"/>
      <c r="O608" s="29"/>
      <c r="P608" s="29"/>
      <c r="Q608" s="29"/>
      <c r="R608" s="29"/>
      <c r="T608" s="1121"/>
      <c r="U608" s="1121"/>
      <c r="V608" s="1122"/>
      <c r="W608" s="1125">
        <f>'Kalkulace a Porovnání'!W608</f>
        <v>0</v>
      </c>
      <c r="X608" s="1125"/>
      <c r="Y608" s="341">
        <f>'Kalkulace a Porovnání'!Y608</f>
        <v>0</v>
      </c>
      <c r="Z608" s="341">
        <f>'Kalkulace a Porovnání'!Z608</f>
        <v>0</v>
      </c>
      <c r="AA608" s="341">
        <f>'Kalkulace a Porovnání'!AA608</f>
        <v>0</v>
      </c>
      <c r="AB608" s="341">
        <f>'Kalkulace a Porovnání'!AB608</f>
        <v>0</v>
      </c>
      <c r="AC608" s="146"/>
      <c r="AD608" s="428"/>
      <c r="AG608" s="428"/>
      <c r="AH608" s="428"/>
      <c r="AI608" s="428"/>
      <c r="AJ608" s="428"/>
      <c r="AK608" s="428"/>
      <c r="AL608" s="146"/>
    </row>
    <row r="609" spans="2:38" x14ac:dyDescent="0.25">
      <c r="B609" s="29"/>
      <c r="AC609" s="146"/>
      <c r="AD609" s="428"/>
      <c r="AG609" s="428"/>
      <c r="AH609" s="428"/>
      <c r="AI609" s="428"/>
      <c r="AJ609" s="428"/>
      <c r="AK609" s="428"/>
      <c r="AL609" s="146"/>
    </row>
    <row r="610" spans="2:38" x14ac:dyDescent="0.25">
      <c r="B610" s="899" t="s">
        <v>316</v>
      </c>
      <c r="C610" s="900"/>
      <c r="D610" s="900"/>
      <c r="E610" s="900"/>
      <c r="F610" s="900"/>
      <c r="G610" s="900"/>
      <c r="H610" s="900"/>
      <c r="K610" s="899" t="s">
        <v>317</v>
      </c>
      <c r="L610" s="900"/>
      <c r="M610" s="900"/>
      <c r="N610" s="900"/>
      <c r="O610" s="900"/>
      <c r="P610" s="900"/>
      <c r="Q610" s="900"/>
      <c r="T610" s="899" t="s">
        <v>162</v>
      </c>
      <c r="U610" s="900"/>
      <c r="V610" s="900"/>
      <c r="W610" s="900"/>
      <c r="X610" s="900"/>
      <c r="Y610" s="900"/>
      <c r="Z610" s="900"/>
      <c r="AA610" s="900"/>
      <c r="AB610" s="900"/>
      <c r="AC610" s="146"/>
      <c r="AD610" s="428"/>
      <c r="AG610" s="428"/>
      <c r="AH610" s="428"/>
      <c r="AI610" s="428"/>
      <c r="AJ610" s="428"/>
      <c r="AK610" s="428"/>
      <c r="AL610" s="146"/>
    </row>
    <row r="611" spans="2:38" x14ac:dyDescent="0.25">
      <c r="C611" s="272"/>
      <c r="E611" s="25"/>
      <c r="F611" s="25"/>
      <c r="L611" s="25"/>
      <c r="N611" s="25"/>
      <c r="T611" s="1079" t="s">
        <v>318</v>
      </c>
      <c r="U611" s="1079"/>
      <c r="V611" s="1079"/>
      <c r="W611" s="1079"/>
      <c r="X611" s="1079"/>
      <c r="Y611" s="1079"/>
      <c r="Z611" s="1079"/>
      <c r="AA611" s="1079"/>
      <c r="AB611" s="1079"/>
      <c r="AC611" s="146"/>
      <c r="AD611" s="428"/>
      <c r="AG611" s="428"/>
      <c r="AH611" s="428"/>
      <c r="AI611" s="428"/>
      <c r="AJ611" s="428"/>
      <c r="AK611" s="428"/>
      <c r="AL611" s="146"/>
    </row>
    <row r="612" spans="2:38" x14ac:dyDescent="0.25">
      <c r="C612" s="272" t="s">
        <v>103</v>
      </c>
      <c r="D612" s="274">
        <f>'Kalkulace a Porovnání'!D612</f>
        <v>2032</v>
      </c>
      <c r="E612" s="25"/>
      <c r="F612" s="272" t="s">
        <v>221</v>
      </c>
      <c r="G612" s="275" t="str">
        <f>'Kalkulace a Porovnání'!G612</f>
        <v>-</v>
      </c>
      <c r="H612" s="275" t="str">
        <f>'Kalkulace a Porovnání'!H612</f>
        <v xml:space="preserve"> </v>
      </c>
      <c r="L612" s="272" t="s">
        <v>103</v>
      </c>
      <c r="M612" s="274">
        <f>'Kalkulace a Porovnání'!M612</f>
        <v>2032</v>
      </c>
      <c r="O612" s="272" t="s">
        <v>221</v>
      </c>
      <c r="P612" s="275" t="str">
        <f>'Kalkulace a Porovnání'!P612</f>
        <v>-</v>
      </c>
      <c r="Q612" s="275" t="str">
        <f>'Kalkulace a Porovnání'!Q612</f>
        <v xml:space="preserve"> </v>
      </c>
      <c r="T612" s="333"/>
      <c r="U612" s="333"/>
      <c r="V612" s="342" t="s">
        <v>147</v>
      </c>
      <c r="W612" s="274">
        <f>'Kalkulace a Porovnání'!W612</f>
        <v>2032</v>
      </c>
      <c r="Z612" s="272" t="s">
        <v>221</v>
      </c>
      <c r="AA612" s="275" t="str">
        <f>'Kalkulace a Porovnání'!AA612</f>
        <v>-</v>
      </c>
      <c r="AB612" s="275" t="str">
        <f>'Kalkulace a Porovnání'!AB612</f>
        <v xml:space="preserve"> </v>
      </c>
      <c r="AC612" s="146"/>
      <c r="AD612" s="428"/>
      <c r="AG612" s="428"/>
      <c r="AH612" s="428"/>
      <c r="AI612" s="428"/>
      <c r="AJ612" s="428"/>
      <c r="AK612" s="428"/>
      <c r="AL612" s="146"/>
    </row>
    <row r="613" spans="2:38" x14ac:dyDescent="0.25">
      <c r="B613" s="13" t="s">
        <v>66</v>
      </c>
      <c r="C613" s="13" t="s">
        <v>89</v>
      </c>
      <c r="D613" s="1061" t="str">
        <f>'Kalkulace a Porovnání'!D613</f>
        <v>PRVOK s.r.o., IČ 281 28 257</v>
      </c>
      <c r="E613" s="1062"/>
      <c r="F613" s="1062"/>
      <c r="G613" s="1062"/>
      <c r="H613" s="1063"/>
      <c r="K613" s="13" t="s">
        <v>66</v>
      </c>
      <c r="L613" s="13" t="s">
        <v>89</v>
      </c>
      <c r="M613" s="1061" t="str">
        <f>'Kalkulace a Porovnání'!M613</f>
        <v>PRVOK s.r.o., IČ 281 28 257</v>
      </c>
      <c r="N613" s="1062"/>
      <c r="O613" s="1062"/>
      <c r="P613" s="1062"/>
      <c r="Q613" s="1063"/>
      <c r="T613" s="13" t="s">
        <v>66</v>
      </c>
      <c r="U613" s="13" t="s">
        <v>89</v>
      </c>
      <c r="V613" s="1080" t="str">
        <f>'Kalkulace a Porovnání'!V613</f>
        <v>PRVOK s.r.o., IČ 281 28 257</v>
      </c>
      <c r="W613" s="1081"/>
      <c r="X613" s="1081"/>
      <c r="Y613" s="1081"/>
      <c r="Z613" s="1081"/>
      <c r="AA613" s="1081"/>
      <c r="AB613" s="1081"/>
      <c r="AC613" s="146"/>
      <c r="AD613" s="428"/>
      <c r="AG613" s="252"/>
      <c r="AH613" s="252"/>
      <c r="AI613" s="252"/>
      <c r="AJ613" s="252"/>
      <c r="AK613" s="428"/>
      <c r="AL613" s="146"/>
    </row>
    <row r="614" spans="2:38" x14ac:dyDescent="0.25">
      <c r="B614" s="13" t="s">
        <v>84</v>
      </c>
      <c r="C614" s="13" t="s">
        <v>90</v>
      </c>
      <c r="D614" s="1061" t="str">
        <f>'Kalkulace a Porovnání'!D614</f>
        <v>PRVOK s.r.o., IČ 281 28 257</v>
      </c>
      <c r="E614" s="1062"/>
      <c r="F614" s="1062"/>
      <c r="G614" s="1062"/>
      <c r="H614" s="1063"/>
      <c r="K614" s="13" t="s">
        <v>84</v>
      </c>
      <c r="L614" s="13" t="s">
        <v>90</v>
      </c>
      <c r="M614" s="1061" t="str">
        <f>'Kalkulace a Porovnání'!M614</f>
        <v>PRVOK s.r.o., IČ 281 28 257</v>
      </c>
      <c r="N614" s="1062"/>
      <c r="O614" s="1062"/>
      <c r="P614" s="1062"/>
      <c r="Q614" s="1063"/>
      <c r="T614" s="13" t="s">
        <v>84</v>
      </c>
      <c r="U614" s="13" t="s">
        <v>90</v>
      </c>
      <c r="V614" s="1080" t="str">
        <f>'Kalkulace a Porovnání'!V614</f>
        <v>PRVOK s.r.o., IČ 281 28 257</v>
      </c>
      <c r="W614" s="1081"/>
      <c r="X614" s="1081"/>
      <c r="Y614" s="1081"/>
      <c r="Z614" s="1081"/>
      <c r="AA614" s="1081"/>
      <c r="AB614" s="1081"/>
      <c r="AC614" s="146"/>
      <c r="AD614" s="428"/>
      <c r="AG614" s="252"/>
      <c r="AH614" s="252"/>
      <c r="AI614" s="252"/>
      <c r="AJ614" s="252"/>
      <c r="AK614" s="428"/>
      <c r="AL614" s="146"/>
    </row>
    <row r="615" spans="2:38" x14ac:dyDescent="0.25">
      <c r="B615" s="13" t="s">
        <v>85</v>
      </c>
      <c r="C615" s="13" t="s">
        <v>91</v>
      </c>
      <c r="D615" s="1061" t="str">
        <f>'Kalkulace a Porovnání'!D615</f>
        <v>Obec Benešov nad Černou, IČ 00245780</v>
      </c>
      <c r="E615" s="1062"/>
      <c r="F615" s="1062"/>
      <c r="G615" s="1062"/>
      <c r="H615" s="1063"/>
      <c r="K615" s="13" t="s">
        <v>85</v>
      </c>
      <c r="L615" s="13" t="s">
        <v>91</v>
      </c>
      <c r="M615" s="1061" t="str">
        <f>'Kalkulace a Porovnání'!M615</f>
        <v>Obec Benešov nad Černou, IČ 00245780</v>
      </c>
      <c r="N615" s="1062"/>
      <c r="O615" s="1062"/>
      <c r="P615" s="1062"/>
      <c r="Q615" s="1063"/>
      <c r="T615" s="13" t="s">
        <v>85</v>
      </c>
      <c r="U615" s="13" t="s">
        <v>91</v>
      </c>
      <c r="V615" s="1080" t="str">
        <f>'Kalkulace a Porovnání'!V615</f>
        <v>Obec Benešov nad Černou, IČ 00245780</v>
      </c>
      <c r="W615" s="1081"/>
      <c r="X615" s="1081"/>
      <c r="Y615" s="1081"/>
      <c r="Z615" s="1081"/>
      <c r="AA615" s="1081"/>
      <c r="AB615" s="1081"/>
      <c r="AC615" s="146"/>
      <c r="AD615" s="428"/>
      <c r="AG615" s="252"/>
      <c r="AH615" s="252"/>
      <c r="AI615" s="252"/>
      <c r="AJ615" s="252"/>
      <c r="AK615" s="428"/>
      <c r="AL615" s="146"/>
    </row>
    <row r="616" spans="2:38" x14ac:dyDescent="0.25">
      <c r="B616" s="13" t="s">
        <v>86</v>
      </c>
      <c r="C616" s="13" t="s">
        <v>93</v>
      </c>
      <c r="D616" s="1061" t="str">
        <f>'Kalkulace a Porovnání'!D616</f>
        <v>A</v>
      </c>
      <c r="E616" s="1062"/>
      <c r="F616" s="1062"/>
      <c r="G616" s="1062"/>
      <c r="H616" s="1063"/>
      <c r="K616" s="13" t="s">
        <v>86</v>
      </c>
      <c r="L616" s="13" t="s">
        <v>93</v>
      </c>
      <c r="M616" s="1061" t="str">
        <f>'Kalkulace a Porovnání'!M616</f>
        <v>A</v>
      </c>
      <c r="N616" s="1062"/>
      <c r="O616" s="1062"/>
      <c r="P616" s="1062"/>
      <c r="Q616" s="1063"/>
      <c r="T616" s="13" t="s">
        <v>86</v>
      </c>
      <c r="U616" s="13" t="s">
        <v>93</v>
      </c>
      <c r="V616" s="1080" t="str">
        <f>'Kalkulace a Porovnání'!V616</f>
        <v>A</v>
      </c>
      <c r="W616" s="1081"/>
      <c r="X616" s="1081"/>
      <c r="Y616" s="1081"/>
      <c r="Z616" s="1081"/>
      <c r="AA616" s="1081"/>
      <c r="AB616" s="1081"/>
      <c r="AC616" s="146"/>
      <c r="AD616" s="428"/>
      <c r="AG616" s="252"/>
      <c r="AH616" s="252"/>
      <c r="AI616" s="252"/>
      <c r="AJ616" s="252"/>
      <c r="AK616" s="428"/>
      <c r="AL616" s="146"/>
    </row>
    <row r="617" spans="2:38" x14ac:dyDescent="0.25">
      <c r="B617" s="13" t="s">
        <v>87</v>
      </c>
      <c r="C617" s="13" t="s">
        <v>92</v>
      </c>
      <c r="D617" s="1061">
        <f>'Kalkulace a Porovnání'!D617</f>
        <v>1</v>
      </c>
      <c r="E617" s="1062"/>
      <c r="F617" s="1062"/>
      <c r="G617" s="1062"/>
      <c r="H617" s="1063"/>
      <c r="K617" s="13" t="s">
        <v>87</v>
      </c>
      <c r="L617" s="13" t="s">
        <v>92</v>
      </c>
      <c r="M617" s="1061">
        <f>'Kalkulace a Porovnání'!M617</f>
        <v>1</v>
      </c>
      <c r="N617" s="1062"/>
      <c r="O617" s="1062"/>
      <c r="P617" s="1062"/>
      <c r="Q617" s="1063"/>
      <c r="T617" s="13" t="s">
        <v>87</v>
      </c>
      <c r="U617" s="13" t="s">
        <v>92</v>
      </c>
      <c r="V617" s="1080">
        <f>'Kalkulace a Porovnání'!V617</f>
        <v>1</v>
      </c>
      <c r="W617" s="1081"/>
      <c r="X617" s="1081"/>
      <c r="Y617" s="1081"/>
      <c r="Z617" s="1081"/>
      <c r="AA617" s="1081"/>
      <c r="AB617" s="1081"/>
      <c r="AC617" s="146"/>
      <c r="AD617" s="428"/>
      <c r="AG617" s="252"/>
      <c r="AH617" s="252"/>
      <c r="AI617" s="252"/>
      <c r="AJ617" s="252"/>
      <c r="AK617" s="428"/>
      <c r="AL617" s="146"/>
    </row>
    <row r="618" spans="2:38" x14ac:dyDescent="0.25">
      <c r="B618" s="13" t="s">
        <v>88</v>
      </c>
      <c r="C618" s="13" t="s">
        <v>94</v>
      </c>
      <c r="D618" s="1061" t="str">
        <f>'Kalkulace a Porovnání'!D618</f>
        <v>[vyplnit]</v>
      </c>
      <c r="E618" s="1062"/>
      <c r="F618" s="1062"/>
      <c r="G618" s="1062"/>
      <c r="H618" s="1063"/>
      <c r="K618" s="13" t="s">
        <v>88</v>
      </c>
      <c r="L618" s="13" t="s">
        <v>94</v>
      </c>
      <c r="M618" s="1061" t="str">
        <f>'Kalkulace a Porovnání'!M618</f>
        <v xml:space="preserve"> </v>
      </c>
      <c r="N618" s="1062"/>
      <c r="O618" s="1062"/>
      <c r="P618" s="1062"/>
      <c r="Q618" s="1063"/>
      <c r="T618" s="13" t="s">
        <v>88</v>
      </c>
      <c r="U618" s="13" t="s">
        <v>94</v>
      </c>
      <c r="V618" s="1080" t="str">
        <f>'Kalkulace a Porovnání'!V618</f>
        <v xml:space="preserve"> </v>
      </c>
      <c r="W618" s="1081"/>
      <c r="X618" s="1081"/>
      <c r="Y618" s="1081"/>
      <c r="Z618" s="1081"/>
      <c r="AA618" s="1081"/>
      <c r="AB618" s="1081"/>
      <c r="AC618" s="146"/>
      <c r="AD618" s="428"/>
      <c r="AG618" s="252"/>
      <c r="AH618" s="252"/>
      <c r="AI618" s="252"/>
      <c r="AJ618" s="252"/>
      <c r="AK618" s="428"/>
      <c r="AL618" s="146"/>
    </row>
    <row r="619" spans="2:38" x14ac:dyDescent="0.25">
      <c r="AC619" s="146"/>
      <c r="AD619" s="428"/>
      <c r="AG619" s="252"/>
      <c r="AH619" s="252"/>
      <c r="AI619" s="252"/>
      <c r="AJ619" s="252"/>
      <c r="AK619" s="428"/>
      <c r="AL619" s="146"/>
    </row>
    <row r="620" spans="2:38" x14ac:dyDescent="0.25">
      <c r="B620" s="1052" t="s">
        <v>5</v>
      </c>
      <c r="C620" s="884" t="s">
        <v>0</v>
      </c>
      <c r="D620" s="868"/>
      <c r="E620" s="868"/>
      <c r="F620" s="868"/>
      <c r="G620" s="868"/>
      <c r="H620" s="869"/>
      <c r="K620" s="1052" t="s">
        <v>5</v>
      </c>
      <c r="L620" s="884" t="s">
        <v>0</v>
      </c>
      <c r="M620" s="868"/>
      <c r="N620" s="868"/>
      <c r="O620" s="868"/>
      <c r="P620" s="868"/>
      <c r="Q620" s="869"/>
      <c r="T620" s="1052" t="s">
        <v>5</v>
      </c>
      <c r="U620" s="884" t="s">
        <v>0</v>
      </c>
      <c r="V620" s="868"/>
      <c r="W620" s="868"/>
      <c r="X620" s="868"/>
      <c r="Y620" s="868"/>
      <c r="Z620" s="868"/>
      <c r="AA620" s="868"/>
      <c r="AB620" s="869"/>
      <c r="AC620" s="146"/>
      <c r="AD620" s="428"/>
      <c r="AG620" s="252"/>
      <c r="AH620" s="252"/>
      <c r="AI620" s="252"/>
      <c r="AJ620" s="252"/>
      <c r="AK620" s="428"/>
      <c r="AL620" s="146"/>
    </row>
    <row r="621" spans="2:38" x14ac:dyDescent="0.25">
      <c r="B621" s="1053"/>
      <c r="C621" s="1052" t="s">
        <v>1</v>
      </c>
      <c r="D621" s="1065" t="s">
        <v>133</v>
      </c>
      <c r="E621" s="884" t="s">
        <v>3</v>
      </c>
      <c r="F621" s="868"/>
      <c r="G621" s="884" t="s">
        <v>4</v>
      </c>
      <c r="H621" s="869"/>
      <c r="K621" s="1053"/>
      <c r="L621" s="1052" t="s">
        <v>1</v>
      </c>
      <c r="M621" s="1065" t="s">
        <v>133</v>
      </c>
      <c r="N621" s="884" t="s">
        <v>3</v>
      </c>
      <c r="O621" s="868"/>
      <c r="P621" s="884" t="s">
        <v>4</v>
      </c>
      <c r="Q621" s="869"/>
      <c r="T621" s="1053"/>
      <c r="U621" s="1052" t="s">
        <v>1</v>
      </c>
      <c r="V621" s="1065" t="s">
        <v>133</v>
      </c>
      <c r="W621" s="884" t="s">
        <v>3</v>
      </c>
      <c r="X621" s="868"/>
      <c r="Y621" s="868"/>
      <c r="Z621" s="884" t="s">
        <v>4</v>
      </c>
      <c r="AA621" s="868"/>
      <c r="AB621" s="869"/>
      <c r="AC621" s="146"/>
      <c r="AD621" s="428"/>
      <c r="AG621" s="252"/>
      <c r="AH621" s="252"/>
      <c r="AI621" s="252"/>
      <c r="AJ621" s="252"/>
      <c r="AK621" s="428"/>
      <c r="AL621" s="146"/>
    </row>
    <row r="622" spans="2:38" x14ac:dyDescent="0.25">
      <c r="B622" s="1053"/>
      <c r="C622" s="1053"/>
      <c r="D622" s="1053"/>
      <c r="E622" s="28">
        <f>'Kalkulace a Porovnání'!E622</f>
        <v>2031</v>
      </c>
      <c r="F622" s="28">
        <f>'Kalkulace a Porovnání'!F622</f>
        <v>2032</v>
      </c>
      <c r="G622" s="28">
        <f>'Kalkulace a Porovnání'!G622</f>
        <v>2031</v>
      </c>
      <c r="H622" s="28">
        <f>'Kalkulace a Porovnání'!H622</f>
        <v>2032</v>
      </c>
      <c r="K622" s="1053"/>
      <c r="L622" s="1053"/>
      <c r="M622" s="1053"/>
      <c r="N622" s="28">
        <f>'Kalkulace a Porovnání'!N622</f>
        <v>2031</v>
      </c>
      <c r="O622" s="28">
        <f>'Kalkulace a Porovnání'!O622</f>
        <v>2032</v>
      </c>
      <c r="P622" s="28">
        <f>'Kalkulace a Porovnání'!P622</f>
        <v>2031</v>
      </c>
      <c r="Q622" s="28">
        <f>'Kalkulace a Porovnání'!Q622</f>
        <v>2032</v>
      </c>
      <c r="T622" s="1053"/>
      <c r="U622" s="1053"/>
      <c r="V622" s="1053"/>
      <c r="W622" s="28">
        <f>'Kalkulace a Porovnání'!W622</f>
        <v>2032</v>
      </c>
      <c r="X622" s="28">
        <f>'Kalkulace a Porovnání'!X622</f>
        <v>2032</v>
      </c>
      <c r="Y622" s="28">
        <f>'Kalkulace a Porovnání'!Y622</f>
        <v>2032</v>
      </c>
      <c r="Z622" s="28">
        <f>'Kalkulace a Porovnání'!Z622</f>
        <v>2032</v>
      </c>
      <c r="AA622" s="28">
        <f>'Kalkulace a Porovnání'!AA622</f>
        <v>2032</v>
      </c>
      <c r="AB622" s="28">
        <f>'Kalkulace a Porovnání'!AB622</f>
        <v>2032</v>
      </c>
      <c r="AC622" s="146"/>
      <c r="AD622" s="428"/>
      <c r="AG622" s="252"/>
      <c r="AH622" s="252"/>
      <c r="AI622" s="252"/>
      <c r="AJ622" s="252"/>
      <c r="AK622" s="428"/>
      <c r="AL622" s="146"/>
    </row>
    <row r="623" spans="2:38" x14ac:dyDescent="0.25">
      <c r="B623" s="1054"/>
      <c r="C623" s="1054"/>
      <c r="D623" s="1054"/>
      <c r="E623" s="7" t="s">
        <v>151</v>
      </c>
      <c r="F623" s="7" t="s">
        <v>98</v>
      </c>
      <c r="G623" s="7" t="s">
        <v>151</v>
      </c>
      <c r="H623" s="19" t="s">
        <v>98</v>
      </c>
      <c r="K623" s="1054"/>
      <c r="L623" s="1054"/>
      <c r="M623" s="1054"/>
      <c r="N623" s="7" t="s">
        <v>151</v>
      </c>
      <c r="O623" s="7" t="s">
        <v>98</v>
      </c>
      <c r="P623" s="7" t="s">
        <v>151</v>
      </c>
      <c r="Q623" s="19" t="s">
        <v>98</v>
      </c>
      <c r="T623" s="1054"/>
      <c r="U623" s="1054"/>
      <c r="V623" s="1054"/>
      <c r="W623" s="7" t="s">
        <v>150</v>
      </c>
      <c r="X623" s="7" t="s">
        <v>98</v>
      </c>
      <c r="Y623" s="7" t="s">
        <v>149</v>
      </c>
      <c r="Z623" s="7" t="s">
        <v>150</v>
      </c>
      <c r="AA623" s="7" t="s">
        <v>98</v>
      </c>
      <c r="AB623" s="19" t="s">
        <v>149</v>
      </c>
      <c r="AC623" s="146"/>
      <c r="AD623" s="428"/>
      <c r="AG623" s="252"/>
      <c r="AH623" s="252"/>
      <c r="AI623" s="252"/>
      <c r="AJ623" s="252"/>
      <c r="AK623" s="428"/>
      <c r="AL623" s="146"/>
    </row>
    <row r="624" spans="2:38" x14ac:dyDescent="0.25">
      <c r="B624" s="11">
        <v>1</v>
      </c>
      <c r="C624" s="11">
        <v>2</v>
      </c>
      <c r="D624" s="11" t="s">
        <v>95</v>
      </c>
      <c r="E624" s="11">
        <v>3</v>
      </c>
      <c r="F624" s="11">
        <v>4</v>
      </c>
      <c r="G624" s="11">
        <v>6</v>
      </c>
      <c r="H624" s="22">
        <v>7</v>
      </c>
      <c r="K624" s="11">
        <v>1</v>
      </c>
      <c r="L624" s="11">
        <v>2</v>
      </c>
      <c r="M624" s="11" t="s">
        <v>95</v>
      </c>
      <c r="N624" s="11">
        <v>3</v>
      </c>
      <c r="O624" s="11">
        <v>4</v>
      </c>
      <c r="P624" s="11">
        <v>6</v>
      </c>
      <c r="Q624" s="22">
        <v>7</v>
      </c>
      <c r="T624" s="11">
        <v>1</v>
      </c>
      <c r="U624" s="11">
        <v>2</v>
      </c>
      <c r="V624" s="11" t="s">
        <v>95</v>
      </c>
      <c r="W624" s="11">
        <v>3</v>
      </c>
      <c r="X624" s="11">
        <v>4</v>
      </c>
      <c r="Y624" s="11">
        <v>5</v>
      </c>
      <c r="Z624" s="11">
        <v>6</v>
      </c>
      <c r="AA624" s="11">
        <v>7</v>
      </c>
      <c r="AB624" s="22">
        <v>8</v>
      </c>
      <c r="AC624" s="146"/>
      <c r="AD624" s="428"/>
      <c r="AG624" s="252"/>
      <c r="AH624" s="252"/>
      <c r="AI624" s="252"/>
      <c r="AJ624" s="252"/>
      <c r="AK624" s="428"/>
      <c r="AL624" s="146"/>
    </row>
    <row r="625" spans="2:38" x14ac:dyDescent="0.25">
      <c r="B625" s="9" t="s">
        <v>8</v>
      </c>
      <c r="C625" s="10" t="s">
        <v>9</v>
      </c>
      <c r="D625" s="11" t="s">
        <v>10</v>
      </c>
      <c r="E625" s="41">
        <f>'Kalkulace a Porovnání'!E625</f>
        <v>0</v>
      </c>
      <c r="F625" s="41">
        <f>'Kalkulace a Porovnání'!F625</f>
        <v>0</v>
      </c>
      <c r="G625" s="41">
        <f>'Kalkulace a Porovnání'!G625</f>
        <v>0</v>
      </c>
      <c r="H625" s="86">
        <f>'Kalkulace a Porovnání'!H625</f>
        <v>0</v>
      </c>
      <c r="K625" s="9" t="s">
        <v>8</v>
      </c>
      <c r="L625" s="10" t="s">
        <v>9</v>
      </c>
      <c r="M625" s="11" t="s">
        <v>10</v>
      </c>
      <c r="N625" s="41">
        <f>'Kalkulace a Porovnání'!N625</f>
        <v>0</v>
      </c>
      <c r="O625" s="41">
        <f>'Kalkulace a Porovnání'!O625</f>
        <v>0</v>
      </c>
      <c r="P625" s="41">
        <f>'Kalkulace a Porovnání'!P625</f>
        <v>0</v>
      </c>
      <c r="Q625" s="86">
        <f>'Kalkulace a Porovnání'!Q625</f>
        <v>0</v>
      </c>
      <c r="T625" s="9" t="s">
        <v>8</v>
      </c>
      <c r="U625" s="10" t="s">
        <v>9</v>
      </c>
      <c r="V625" s="11" t="s">
        <v>10</v>
      </c>
      <c r="W625" s="41">
        <f>'Kalkulace a Porovnání'!W625</f>
        <v>0</v>
      </c>
      <c r="X625" s="41">
        <f>'Kalkulace a Porovnání'!X625</f>
        <v>0</v>
      </c>
      <c r="Y625" s="41">
        <f>'Kalkulace a Porovnání'!Y625</f>
        <v>0</v>
      </c>
      <c r="Z625" s="41">
        <f>'Kalkulace a Porovnání'!Z625</f>
        <v>0</v>
      </c>
      <c r="AA625" s="41">
        <f>'Kalkulace a Porovnání'!AA625</f>
        <v>0</v>
      </c>
      <c r="AB625" s="86">
        <f>'Kalkulace a Porovnání'!AB625</f>
        <v>0</v>
      </c>
      <c r="AC625" s="146"/>
      <c r="AD625" s="428"/>
      <c r="AG625" s="252"/>
      <c r="AH625" s="252"/>
      <c r="AI625" s="252"/>
      <c r="AJ625" s="252"/>
      <c r="AK625" s="428"/>
      <c r="AL625" s="146"/>
    </row>
    <row r="626" spans="2:38" x14ac:dyDescent="0.25">
      <c r="B626" s="12" t="s">
        <v>11</v>
      </c>
      <c r="C626" s="13" t="s">
        <v>12</v>
      </c>
      <c r="D626" s="3" t="s">
        <v>10</v>
      </c>
      <c r="E626" s="44">
        <f>'Kalkulace a Porovnání'!E626</f>
        <v>0</v>
      </c>
      <c r="F626" s="44">
        <f>'Kalkulace a Porovnání'!F626</f>
        <v>0</v>
      </c>
      <c r="G626" s="44">
        <f>'Kalkulace a Porovnání'!G626</f>
        <v>0</v>
      </c>
      <c r="H626" s="30">
        <f>'Kalkulace a Porovnání'!H626</f>
        <v>0</v>
      </c>
      <c r="K626" s="12" t="s">
        <v>11</v>
      </c>
      <c r="L626" s="13" t="s">
        <v>12</v>
      </c>
      <c r="M626" s="3" t="s">
        <v>10</v>
      </c>
      <c r="N626" s="44">
        <f>'Kalkulace a Porovnání'!N626</f>
        <v>0</v>
      </c>
      <c r="O626" s="44">
        <f>'Kalkulace a Porovnání'!O626</f>
        <v>0</v>
      </c>
      <c r="P626" s="44">
        <f>'Kalkulace a Porovnání'!P626</f>
        <v>0</v>
      </c>
      <c r="Q626" s="30">
        <f>'Kalkulace a Porovnání'!Q626</f>
        <v>0</v>
      </c>
      <c r="T626" s="12" t="s">
        <v>11</v>
      </c>
      <c r="U626" s="13" t="s">
        <v>12</v>
      </c>
      <c r="V626" s="3" t="s">
        <v>10</v>
      </c>
      <c r="W626" s="44">
        <f>'Kalkulace a Porovnání'!W626</f>
        <v>0</v>
      </c>
      <c r="X626" s="44">
        <f>'Kalkulace a Porovnání'!X626</f>
        <v>0</v>
      </c>
      <c r="Y626" s="44">
        <f>'Kalkulace a Porovnání'!Y626</f>
        <v>0</v>
      </c>
      <c r="Z626" s="44">
        <f>'Kalkulace a Porovnání'!Z626</f>
        <v>0</v>
      </c>
      <c r="AA626" s="44">
        <f>'Kalkulace a Porovnání'!AA626</f>
        <v>0</v>
      </c>
      <c r="AB626" s="30">
        <f>'Kalkulace a Porovnání'!AB626</f>
        <v>0</v>
      </c>
      <c r="AC626" s="146"/>
      <c r="AD626" s="428"/>
      <c r="AG626" s="252"/>
      <c r="AH626" s="252"/>
      <c r="AI626" s="252"/>
      <c r="AJ626" s="252"/>
      <c r="AK626" s="428"/>
      <c r="AL626" s="146"/>
    </row>
    <row r="627" spans="2:38" x14ac:dyDescent="0.25">
      <c r="B627" s="12" t="s">
        <v>13</v>
      </c>
      <c r="C627" s="12" t="s">
        <v>14</v>
      </c>
      <c r="D627" s="3" t="s">
        <v>10</v>
      </c>
      <c r="E627" s="44">
        <f>'Kalkulace a Porovnání'!E627</f>
        <v>0</v>
      </c>
      <c r="F627" s="44">
        <f>'Kalkulace a Porovnání'!F627</f>
        <v>0</v>
      </c>
      <c r="G627" s="44">
        <f>'Kalkulace a Porovnání'!G627</f>
        <v>0</v>
      </c>
      <c r="H627" s="30">
        <f>'Kalkulace a Porovnání'!H627</f>
        <v>0</v>
      </c>
      <c r="K627" s="12" t="s">
        <v>13</v>
      </c>
      <c r="L627" s="12" t="s">
        <v>14</v>
      </c>
      <c r="M627" s="3" t="s">
        <v>10</v>
      </c>
      <c r="N627" s="44">
        <f>'Kalkulace a Porovnání'!N627</f>
        <v>0</v>
      </c>
      <c r="O627" s="44">
        <f>'Kalkulace a Porovnání'!O627</f>
        <v>0</v>
      </c>
      <c r="P627" s="44">
        <f>'Kalkulace a Porovnání'!P627</f>
        <v>0</v>
      </c>
      <c r="Q627" s="30">
        <f>'Kalkulace a Porovnání'!Q627</f>
        <v>0</v>
      </c>
      <c r="T627" s="12" t="s">
        <v>13</v>
      </c>
      <c r="U627" s="12" t="s">
        <v>14</v>
      </c>
      <c r="V627" s="3" t="s">
        <v>10</v>
      </c>
      <c r="W627" s="44">
        <f>'Kalkulace a Porovnání'!W627</f>
        <v>0</v>
      </c>
      <c r="X627" s="44">
        <f>'Kalkulace a Porovnání'!X627</f>
        <v>0</v>
      </c>
      <c r="Y627" s="44">
        <f>'Kalkulace a Porovnání'!Y627</f>
        <v>0</v>
      </c>
      <c r="Z627" s="44">
        <f>'Kalkulace a Porovnání'!Z627</f>
        <v>0</v>
      </c>
      <c r="AA627" s="44">
        <f>'Kalkulace a Porovnání'!AA627</f>
        <v>0</v>
      </c>
      <c r="AB627" s="30">
        <f>'Kalkulace a Porovnání'!AB627</f>
        <v>0</v>
      </c>
      <c r="AC627" s="146"/>
      <c r="AD627" s="428"/>
      <c r="AG627" s="252"/>
      <c r="AH627" s="252"/>
      <c r="AI627" s="252"/>
      <c r="AJ627" s="252"/>
      <c r="AK627" s="428"/>
      <c r="AL627" s="146"/>
    </row>
    <row r="628" spans="2:38" x14ac:dyDescent="0.25">
      <c r="B628" s="12" t="s">
        <v>15</v>
      </c>
      <c r="C628" s="13" t="s">
        <v>16</v>
      </c>
      <c r="D628" s="3" t="s">
        <v>10</v>
      </c>
      <c r="E628" s="44">
        <f>'Kalkulace a Porovnání'!E628</f>
        <v>0</v>
      </c>
      <c r="F628" s="44">
        <f>'Kalkulace a Porovnání'!F628</f>
        <v>0</v>
      </c>
      <c r="G628" s="44">
        <f>'Kalkulace a Porovnání'!G628</f>
        <v>0</v>
      </c>
      <c r="H628" s="30">
        <f>'Kalkulace a Porovnání'!H628</f>
        <v>0</v>
      </c>
      <c r="K628" s="12" t="s">
        <v>15</v>
      </c>
      <c r="L628" s="13" t="s">
        <v>16</v>
      </c>
      <c r="M628" s="3" t="s">
        <v>10</v>
      </c>
      <c r="N628" s="44">
        <f>'Kalkulace a Porovnání'!N628</f>
        <v>0</v>
      </c>
      <c r="O628" s="44">
        <f>'Kalkulace a Porovnání'!O628</f>
        <v>0</v>
      </c>
      <c r="P628" s="44">
        <f>'Kalkulace a Porovnání'!P628</f>
        <v>0</v>
      </c>
      <c r="Q628" s="30">
        <f>'Kalkulace a Porovnání'!Q628</f>
        <v>0</v>
      </c>
      <c r="T628" s="12" t="s">
        <v>15</v>
      </c>
      <c r="U628" s="13" t="s">
        <v>16</v>
      </c>
      <c r="V628" s="3" t="s">
        <v>10</v>
      </c>
      <c r="W628" s="44">
        <f>'Kalkulace a Porovnání'!W628</f>
        <v>0</v>
      </c>
      <c r="X628" s="44">
        <f>'Kalkulace a Porovnání'!X628</f>
        <v>0</v>
      </c>
      <c r="Y628" s="44">
        <f>'Kalkulace a Porovnání'!Y628</f>
        <v>0</v>
      </c>
      <c r="Z628" s="44">
        <f>'Kalkulace a Porovnání'!Z628</f>
        <v>0</v>
      </c>
      <c r="AA628" s="44">
        <f>'Kalkulace a Porovnání'!AA628</f>
        <v>0</v>
      </c>
      <c r="AB628" s="30">
        <f>'Kalkulace a Porovnání'!AB628</f>
        <v>0</v>
      </c>
      <c r="AC628" s="146"/>
      <c r="AD628" s="428"/>
      <c r="AG628" s="252"/>
      <c r="AH628" s="252"/>
      <c r="AI628" s="252"/>
      <c r="AJ628" s="252"/>
      <c r="AK628" s="428"/>
      <c r="AL628" s="146"/>
    </row>
    <row r="629" spans="2:38" x14ac:dyDescent="0.25">
      <c r="B629" s="12" t="s">
        <v>17</v>
      </c>
      <c r="C629" s="13" t="s">
        <v>18</v>
      </c>
      <c r="D629" s="3" t="s">
        <v>10</v>
      </c>
      <c r="E629" s="44">
        <f>'Kalkulace a Porovnání'!E629</f>
        <v>0</v>
      </c>
      <c r="F629" s="44">
        <f>'Kalkulace a Porovnání'!F629</f>
        <v>0</v>
      </c>
      <c r="G629" s="44">
        <f>'Kalkulace a Porovnání'!G629</f>
        <v>0</v>
      </c>
      <c r="H629" s="30">
        <f>'Kalkulace a Porovnání'!H629</f>
        <v>0</v>
      </c>
      <c r="K629" s="12" t="s">
        <v>17</v>
      </c>
      <c r="L629" s="13" t="s">
        <v>18</v>
      </c>
      <c r="M629" s="3" t="s">
        <v>10</v>
      </c>
      <c r="N629" s="44">
        <f>'Kalkulace a Porovnání'!N629</f>
        <v>0</v>
      </c>
      <c r="O629" s="44">
        <f>'Kalkulace a Porovnání'!O629</f>
        <v>0</v>
      </c>
      <c r="P629" s="44">
        <f>'Kalkulace a Porovnání'!P629</f>
        <v>0</v>
      </c>
      <c r="Q629" s="30">
        <f>'Kalkulace a Porovnání'!Q629</f>
        <v>0</v>
      </c>
      <c r="T629" s="12" t="s">
        <v>17</v>
      </c>
      <c r="U629" s="13" t="s">
        <v>18</v>
      </c>
      <c r="V629" s="3" t="s">
        <v>10</v>
      </c>
      <c r="W629" s="44">
        <f>'Kalkulace a Porovnání'!W629</f>
        <v>0</v>
      </c>
      <c r="X629" s="44">
        <f>'Kalkulace a Porovnání'!X629</f>
        <v>0</v>
      </c>
      <c r="Y629" s="44">
        <f>'Kalkulace a Porovnání'!Y629</f>
        <v>0</v>
      </c>
      <c r="Z629" s="44">
        <f>'Kalkulace a Porovnání'!Z629</f>
        <v>0</v>
      </c>
      <c r="AA629" s="44">
        <f>'Kalkulace a Porovnání'!AA629</f>
        <v>0</v>
      </c>
      <c r="AB629" s="30">
        <f>'Kalkulace a Porovnání'!AB629</f>
        <v>0</v>
      </c>
      <c r="AC629" s="146"/>
      <c r="AD629" s="428"/>
      <c r="AG629" s="252"/>
      <c r="AH629" s="252"/>
      <c r="AI629" s="252"/>
      <c r="AJ629" s="252"/>
      <c r="AK629" s="428"/>
      <c r="AL629" s="146"/>
    </row>
    <row r="630" spans="2:38" x14ac:dyDescent="0.25">
      <c r="B630" s="9" t="s">
        <v>19</v>
      </c>
      <c r="C630" s="10" t="s">
        <v>20</v>
      </c>
      <c r="D630" s="11" t="s">
        <v>10</v>
      </c>
      <c r="E630" s="41">
        <f>'Kalkulace a Porovnání'!E630</f>
        <v>0</v>
      </c>
      <c r="F630" s="41">
        <f>'Kalkulace a Porovnání'!F630</f>
        <v>0</v>
      </c>
      <c r="G630" s="41">
        <f>'Kalkulace a Porovnání'!G630</f>
        <v>0</v>
      </c>
      <c r="H630" s="86">
        <f>'Kalkulace a Porovnání'!H630</f>
        <v>0</v>
      </c>
      <c r="K630" s="9" t="s">
        <v>19</v>
      </c>
      <c r="L630" s="10" t="s">
        <v>20</v>
      </c>
      <c r="M630" s="11" t="s">
        <v>10</v>
      </c>
      <c r="N630" s="41">
        <f>'Kalkulace a Porovnání'!N630</f>
        <v>0</v>
      </c>
      <c r="O630" s="41">
        <f>'Kalkulace a Porovnání'!O630</f>
        <v>0</v>
      </c>
      <c r="P630" s="41">
        <f>'Kalkulace a Porovnání'!P630</f>
        <v>0</v>
      </c>
      <c r="Q630" s="86">
        <f>'Kalkulace a Porovnání'!Q630</f>
        <v>0</v>
      </c>
      <c r="T630" s="9" t="s">
        <v>19</v>
      </c>
      <c r="U630" s="10" t="s">
        <v>20</v>
      </c>
      <c r="V630" s="11" t="s">
        <v>10</v>
      </c>
      <c r="W630" s="41">
        <f>'Kalkulace a Porovnání'!W630</f>
        <v>0</v>
      </c>
      <c r="X630" s="41">
        <f>'Kalkulace a Porovnání'!X630</f>
        <v>0</v>
      </c>
      <c r="Y630" s="41">
        <f>'Kalkulace a Porovnání'!Y630</f>
        <v>0</v>
      </c>
      <c r="Z630" s="41">
        <f>'Kalkulace a Porovnání'!Z630</f>
        <v>0</v>
      </c>
      <c r="AA630" s="41">
        <f>'Kalkulace a Porovnání'!AA630</f>
        <v>0</v>
      </c>
      <c r="AB630" s="86">
        <f>'Kalkulace a Porovnání'!AB630</f>
        <v>0</v>
      </c>
      <c r="AC630" s="146"/>
      <c r="AD630" s="428"/>
      <c r="AG630" s="252"/>
      <c r="AH630" s="252"/>
      <c r="AI630" s="252"/>
      <c r="AJ630" s="252"/>
      <c r="AK630" s="428"/>
      <c r="AL630" s="146"/>
    </row>
    <row r="631" spans="2:38" x14ac:dyDescent="0.25">
      <c r="B631" s="12" t="s">
        <v>21</v>
      </c>
      <c r="C631" s="12" t="s">
        <v>22</v>
      </c>
      <c r="D631" s="3" t="s">
        <v>10</v>
      </c>
      <c r="E631" s="44">
        <f>'Kalkulace a Porovnání'!E631</f>
        <v>0</v>
      </c>
      <c r="F631" s="44">
        <f>'Kalkulace a Porovnání'!F631</f>
        <v>0</v>
      </c>
      <c r="G631" s="44">
        <f>'Kalkulace a Porovnání'!G631</f>
        <v>0</v>
      </c>
      <c r="H631" s="30">
        <f>'Kalkulace a Porovnání'!H631</f>
        <v>0</v>
      </c>
      <c r="K631" s="12" t="s">
        <v>21</v>
      </c>
      <c r="L631" s="12" t="s">
        <v>22</v>
      </c>
      <c r="M631" s="3" t="s">
        <v>10</v>
      </c>
      <c r="N631" s="44">
        <f>'Kalkulace a Porovnání'!N631</f>
        <v>0</v>
      </c>
      <c r="O631" s="44">
        <f>'Kalkulace a Porovnání'!O631</f>
        <v>0</v>
      </c>
      <c r="P631" s="44">
        <f>'Kalkulace a Porovnání'!P631</f>
        <v>0</v>
      </c>
      <c r="Q631" s="30">
        <f>'Kalkulace a Porovnání'!Q631</f>
        <v>0</v>
      </c>
      <c r="T631" s="12" t="s">
        <v>21</v>
      </c>
      <c r="U631" s="12" t="s">
        <v>22</v>
      </c>
      <c r="V631" s="3" t="s">
        <v>10</v>
      </c>
      <c r="W631" s="44">
        <f>'Kalkulace a Porovnání'!W631</f>
        <v>0</v>
      </c>
      <c r="X631" s="44">
        <f>'Kalkulace a Porovnání'!X631</f>
        <v>0</v>
      </c>
      <c r="Y631" s="44">
        <f>'Kalkulace a Porovnání'!Y631</f>
        <v>0</v>
      </c>
      <c r="Z631" s="44">
        <f>'Kalkulace a Porovnání'!Z631</f>
        <v>0</v>
      </c>
      <c r="AA631" s="44">
        <f>'Kalkulace a Porovnání'!AA631</f>
        <v>0</v>
      </c>
      <c r="AB631" s="30">
        <f>'Kalkulace a Porovnání'!AB631</f>
        <v>0</v>
      </c>
      <c r="AC631" s="146"/>
      <c r="AD631" s="428"/>
      <c r="AG631" s="252"/>
      <c r="AH631" s="252"/>
      <c r="AI631" s="252"/>
      <c r="AJ631" s="252"/>
      <c r="AK631" s="428"/>
      <c r="AL631" s="146"/>
    </row>
    <row r="632" spans="2:38" x14ac:dyDescent="0.25">
      <c r="B632" s="12" t="s">
        <v>23</v>
      </c>
      <c r="C632" s="12" t="s">
        <v>24</v>
      </c>
      <c r="D632" s="3" t="s">
        <v>10</v>
      </c>
      <c r="E632" s="44">
        <f>'Kalkulace a Porovnání'!E632</f>
        <v>0</v>
      </c>
      <c r="F632" s="44">
        <f>'Kalkulace a Porovnání'!F632</f>
        <v>0</v>
      </c>
      <c r="G632" s="44">
        <f>'Kalkulace a Porovnání'!G632</f>
        <v>0</v>
      </c>
      <c r="H632" s="30">
        <f>'Kalkulace a Porovnání'!H632</f>
        <v>0</v>
      </c>
      <c r="K632" s="12" t="s">
        <v>23</v>
      </c>
      <c r="L632" s="12" t="s">
        <v>24</v>
      </c>
      <c r="M632" s="3" t="s">
        <v>10</v>
      </c>
      <c r="N632" s="44">
        <f>'Kalkulace a Porovnání'!N632</f>
        <v>0</v>
      </c>
      <c r="O632" s="44">
        <f>'Kalkulace a Porovnání'!O632</f>
        <v>0</v>
      </c>
      <c r="P632" s="44">
        <f>'Kalkulace a Porovnání'!P632</f>
        <v>0</v>
      </c>
      <c r="Q632" s="30">
        <f>'Kalkulace a Porovnání'!Q632</f>
        <v>0</v>
      </c>
      <c r="T632" s="12" t="s">
        <v>23</v>
      </c>
      <c r="U632" s="12" t="s">
        <v>24</v>
      </c>
      <c r="V632" s="3" t="s">
        <v>10</v>
      </c>
      <c r="W632" s="44">
        <f>'Kalkulace a Porovnání'!W632</f>
        <v>0</v>
      </c>
      <c r="X632" s="44">
        <f>'Kalkulace a Porovnání'!X632</f>
        <v>0</v>
      </c>
      <c r="Y632" s="44">
        <f>'Kalkulace a Porovnání'!Y632</f>
        <v>0</v>
      </c>
      <c r="Z632" s="44">
        <f>'Kalkulace a Porovnání'!Z632</f>
        <v>0</v>
      </c>
      <c r="AA632" s="44">
        <f>'Kalkulace a Porovnání'!AA632</f>
        <v>0</v>
      </c>
      <c r="AB632" s="30">
        <f>'Kalkulace a Porovnání'!AB632</f>
        <v>0</v>
      </c>
      <c r="AC632" s="146"/>
      <c r="AD632" s="428"/>
      <c r="AG632" s="252"/>
      <c r="AH632" s="252"/>
      <c r="AI632" s="252"/>
      <c r="AJ632" s="252"/>
      <c r="AK632" s="428"/>
      <c r="AL632" s="146"/>
    </row>
    <row r="633" spans="2:38" x14ac:dyDescent="0.25">
      <c r="B633" s="9" t="s">
        <v>25</v>
      </c>
      <c r="C633" s="10" t="s">
        <v>400</v>
      </c>
      <c r="D633" s="11" t="s">
        <v>10</v>
      </c>
      <c r="E633" s="41">
        <f>'Kalkulace a Porovnání'!E633</f>
        <v>0</v>
      </c>
      <c r="F633" s="41">
        <f>'Kalkulace a Porovnání'!F633</f>
        <v>0</v>
      </c>
      <c r="G633" s="41">
        <f>'Kalkulace a Porovnání'!G633</f>
        <v>0</v>
      </c>
      <c r="H633" s="86">
        <f>'Kalkulace a Porovnání'!H633</f>
        <v>0</v>
      </c>
      <c r="K633" s="9" t="s">
        <v>25</v>
      </c>
      <c r="L633" s="10" t="s">
        <v>400</v>
      </c>
      <c r="M633" s="11" t="s">
        <v>10</v>
      </c>
      <c r="N633" s="41">
        <f>'Kalkulace a Porovnání'!N633</f>
        <v>0</v>
      </c>
      <c r="O633" s="41">
        <f>'Kalkulace a Porovnání'!O633</f>
        <v>0</v>
      </c>
      <c r="P633" s="41">
        <f>'Kalkulace a Porovnání'!P633</f>
        <v>0</v>
      </c>
      <c r="Q633" s="86">
        <f>'Kalkulace a Porovnání'!Q633</f>
        <v>0</v>
      </c>
      <c r="T633" s="9" t="s">
        <v>25</v>
      </c>
      <c r="U633" s="10" t="s">
        <v>400</v>
      </c>
      <c r="V633" s="11" t="s">
        <v>10</v>
      </c>
      <c r="W633" s="41">
        <f>'Kalkulace a Porovnání'!W633</f>
        <v>0</v>
      </c>
      <c r="X633" s="41">
        <f>'Kalkulace a Porovnání'!X633</f>
        <v>0</v>
      </c>
      <c r="Y633" s="41">
        <f>'Kalkulace a Porovnání'!Y633</f>
        <v>0</v>
      </c>
      <c r="Z633" s="41">
        <f>'Kalkulace a Porovnání'!Z633</f>
        <v>0</v>
      </c>
      <c r="AA633" s="41">
        <f>'Kalkulace a Porovnání'!AA633</f>
        <v>0</v>
      </c>
      <c r="AB633" s="86">
        <f>'Kalkulace a Porovnání'!AB633</f>
        <v>0</v>
      </c>
      <c r="AC633" s="146"/>
      <c r="AD633" s="428"/>
      <c r="AG633" s="252"/>
      <c r="AH633" s="252"/>
      <c r="AI633" s="252"/>
      <c r="AJ633" s="252"/>
      <c r="AK633" s="428"/>
      <c r="AL633" s="146"/>
    </row>
    <row r="634" spans="2:38" x14ac:dyDescent="0.25">
      <c r="B634" s="12" t="s">
        <v>26</v>
      </c>
      <c r="C634" s="13" t="s">
        <v>390</v>
      </c>
      <c r="D634" s="3" t="s">
        <v>10</v>
      </c>
      <c r="E634" s="44">
        <f>'Kalkulace a Porovnání'!E634</f>
        <v>0</v>
      </c>
      <c r="F634" s="44">
        <f>'Kalkulace a Porovnání'!F634</f>
        <v>0</v>
      </c>
      <c r="G634" s="44">
        <f>'Kalkulace a Porovnání'!G634</f>
        <v>0</v>
      </c>
      <c r="H634" s="30">
        <f>'Kalkulace a Porovnání'!H634</f>
        <v>0</v>
      </c>
      <c r="K634" s="12" t="s">
        <v>26</v>
      </c>
      <c r="L634" s="13" t="s">
        <v>390</v>
      </c>
      <c r="M634" s="3" t="s">
        <v>10</v>
      </c>
      <c r="N634" s="44">
        <f>'Kalkulace a Porovnání'!N634</f>
        <v>0</v>
      </c>
      <c r="O634" s="44">
        <f>'Kalkulace a Porovnání'!O634</f>
        <v>0</v>
      </c>
      <c r="P634" s="44">
        <f>'Kalkulace a Porovnání'!P634</f>
        <v>0</v>
      </c>
      <c r="Q634" s="30">
        <f>'Kalkulace a Porovnání'!Q634</f>
        <v>0</v>
      </c>
      <c r="T634" s="12" t="s">
        <v>26</v>
      </c>
      <c r="U634" s="13" t="s">
        <v>390</v>
      </c>
      <c r="V634" s="3" t="s">
        <v>10</v>
      </c>
      <c r="W634" s="44">
        <f>'Kalkulace a Porovnání'!W634</f>
        <v>0</v>
      </c>
      <c r="X634" s="44">
        <f>'Kalkulace a Porovnání'!X634</f>
        <v>0</v>
      </c>
      <c r="Y634" s="44">
        <f>'Kalkulace a Porovnání'!Y634</f>
        <v>0</v>
      </c>
      <c r="Z634" s="44">
        <f>'Kalkulace a Porovnání'!Z634</f>
        <v>0</v>
      </c>
      <c r="AA634" s="44">
        <f>'Kalkulace a Porovnání'!AA634</f>
        <v>0</v>
      </c>
      <c r="AB634" s="30">
        <f>'Kalkulace a Porovnání'!AB634</f>
        <v>0</v>
      </c>
      <c r="AC634" s="146"/>
      <c r="AD634" s="428"/>
      <c r="AG634" s="252"/>
      <c r="AH634" s="252"/>
      <c r="AI634" s="252"/>
      <c r="AJ634" s="252"/>
      <c r="AK634" s="428"/>
      <c r="AL634" s="146"/>
    </row>
    <row r="635" spans="2:38" x14ac:dyDescent="0.25">
      <c r="B635" s="12" t="s">
        <v>27</v>
      </c>
      <c r="C635" s="13" t="s">
        <v>401</v>
      </c>
      <c r="D635" s="3" t="s">
        <v>10</v>
      </c>
      <c r="E635" s="44">
        <f>'Kalkulace a Porovnání'!E635</f>
        <v>0</v>
      </c>
      <c r="F635" s="44">
        <f>'Kalkulace a Porovnání'!F635</f>
        <v>0</v>
      </c>
      <c r="G635" s="44">
        <f>'Kalkulace a Porovnání'!G635</f>
        <v>0</v>
      </c>
      <c r="H635" s="30">
        <f>'Kalkulace a Porovnání'!H635</f>
        <v>0</v>
      </c>
      <c r="K635" s="12" t="s">
        <v>27</v>
      </c>
      <c r="L635" s="13" t="s">
        <v>401</v>
      </c>
      <c r="M635" s="3" t="s">
        <v>10</v>
      </c>
      <c r="N635" s="44">
        <f>'Kalkulace a Porovnání'!N635</f>
        <v>0</v>
      </c>
      <c r="O635" s="44">
        <f>'Kalkulace a Porovnání'!O635</f>
        <v>0</v>
      </c>
      <c r="P635" s="44">
        <f>'Kalkulace a Porovnání'!P635</f>
        <v>0</v>
      </c>
      <c r="Q635" s="30">
        <f>'Kalkulace a Porovnání'!Q635</f>
        <v>0</v>
      </c>
      <c r="T635" s="12" t="s">
        <v>27</v>
      </c>
      <c r="U635" s="13" t="s">
        <v>401</v>
      </c>
      <c r="V635" s="3" t="s">
        <v>10</v>
      </c>
      <c r="W635" s="44">
        <f>'Kalkulace a Porovnání'!W635</f>
        <v>0</v>
      </c>
      <c r="X635" s="44">
        <f>'Kalkulace a Porovnání'!X635</f>
        <v>0</v>
      </c>
      <c r="Y635" s="44">
        <f>'Kalkulace a Porovnání'!Y635</f>
        <v>0</v>
      </c>
      <c r="Z635" s="44">
        <f>'Kalkulace a Porovnání'!Z635</f>
        <v>0</v>
      </c>
      <c r="AA635" s="44">
        <f>'Kalkulace a Porovnání'!AA635</f>
        <v>0</v>
      </c>
      <c r="AB635" s="30">
        <f>'Kalkulace a Porovnání'!AB635</f>
        <v>0</v>
      </c>
      <c r="AC635" s="146"/>
      <c r="AD635" s="428"/>
      <c r="AG635" s="252"/>
      <c r="AH635" s="252"/>
      <c r="AI635" s="252"/>
      <c r="AJ635" s="252"/>
      <c r="AK635" s="428"/>
      <c r="AL635" s="146"/>
    </row>
    <row r="636" spans="2:38" x14ac:dyDescent="0.25">
      <c r="B636" s="9" t="s">
        <v>28</v>
      </c>
      <c r="C636" s="10" t="s">
        <v>29</v>
      </c>
      <c r="D636" s="11" t="s">
        <v>10</v>
      </c>
      <c r="E636" s="41">
        <f>'Kalkulace a Porovnání'!E636</f>
        <v>0</v>
      </c>
      <c r="F636" s="41">
        <f>'Kalkulace a Porovnání'!F636</f>
        <v>0</v>
      </c>
      <c r="G636" s="41">
        <f>'Kalkulace a Porovnání'!G636</f>
        <v>0</v>
      </c>
      <c r="H636" s="86">
        <f>'Kalkulace a Porovnání'!H636</f>
        <v>0</v>
      </c>
      <c r="K636" s="9" t="s">
        <v>28</v>
      </c>
      <c r="L636" s="10" t="s">
        <v>29</v>
      </c>
      <c r="M636" s="11" t="s">
        <v>10</v>
      </c>
      <c r="N636" s="41">
        <f>'Kalkulace a Porovnání'!N636</f>
        <v>0</v>
      </c>
      <c r="O636" s="41">
        <f>'Kalkulace a Porovnání'!O636</f>
        <v>0</v>
      </c>
      <c r="P636" s="41">
        <f>'Kalkulace a Porovnání'!P636</f>
        <v>0</v>
      </c>
      <c r="Q636" s="86">
        <f>'Kalkulace a Porovnání'!Q636</f>
        <v>0</v>
      </c>
      <c r="T636" s="9" t="s">
        <v>28</v>
      </c>
      <c r="U636" s="10" t="s">
        <v>29</v>
      </c>
      <c r="V636" s="11" t="s">
        <v>10</v>
      </c>
      <c r="W636" s="41">
        <f>'Kalkulace a Porovnání'!W636</f>
        <v>0</v>
      </c>
      <c r="X636" s="41">
        <f>'Kalkulace a Porovnání'!X636</f>
        <v>0</v>
      </c>
      <c r="Y636" s="41">
        <f>'Kalkulace a Porovnání'!Y636</f>
        <v>0</v>
      </c>
      <c r="Z636" s="41">
        <f>'Kalkulace a Porovnání'!Z636</f>
        <v>0</v>
      </c>
      <c r="AA636" s="41">
        <f>'Kalkulace a Porovnání'!AA636</f>
        <v>0</v>
      </c>
      <c r="AB636" s="86">
        <f>'Kalkulace a Porovnání'!AB636</f>
        <v>0</v>
      </c>
      <c r="AC636" s="146"/>
      <c r="AD636" s="428"/>
      <c r="AG636" s="252"/>
      <c r="AH636" s="252"/>
      <c r="AI636" s="252"/>
      <c r="AJ636" s="252"/>
      <c r="AK636" s="428"/>
      <c r="AL636" s="146"/>
    </row>
    <row r="637" spans="2:38" x14ac:dyDescent="0.25">
      <c r="B637" s="12" t="s">
        <v>30</v>
      </c>
      <c r="C637" s="21" t="s">
        <v>381</v>
      </c>
      <c r="D637" s="3" t="s">
        <v>10</v>
      </c>
      <c r="E637" s="44">
        <f>'Kalkulace a Porovnání'!E637</f>
        <v>0</v>
      </c>
      <c r="F637" s="44">
        <f>'Kalkulace a Porovnání'!F637</f>
        <v>0</v>
      </c>
      <c r="G637" s="44">
        <f>'Kalkulace a Porovnání'!G637</f>
        <v>0</v>
      </c>
      <c r="H637" s="30">
        <f>'Kalkulace a Porovnání'!H637</f>
        <v>0</v>
      </c>
      <c r="K637" s="12" t="s">
        <v>30</v>
      </c>
      <c r="L637" s="21" t="s">
        <v>381</v>
      </c>
      <c r="M637" s="3" t="s">
        <v>10</v>
      </c>
      <c r="N637" s="44">
        <f>'Kalkulace a Porovnání'!N637</f>
        <v>0</v>
      </c>
      <c r="O637" s="44">
        <f>'Kalkulace a Porovnání'!O637</f>
        <v>0</v>
      </c>
      <c r="P637" s="44">
        <f>'Kalkulace a Porovnání'!P637</f>
        <v>0</v>
      </c>
      <c r="Q637" s="30">
        <f>'Kalkulace a Porovnání'!Q637</f>
        <v>0</v>
      </c>
      <c r="T637" s="12" t="s">
        <v>30</v>
      </c>
      <c r="U637" s="21" t="s">
        <v>381</v>
      </c>
      <c r="V637" s="3" t="s">
        <v>10</v>
      </c>
      <c r="W637" s="44">
        <f>'Kalkulace a Porovnání'!W637</f>
        <v>0</v>
      </c>
      <c r="X637" s="44">
        <f>'Kalkulace a Porovnání'!X637</f>
        <v>0</v>
      </c>
      <c r="Y637" s="44">
        <f>'Kalkulace a Porovnání'!Y637</f>
        <v>0</v>
      </c>
      <c r="Z637" s="44">
        <f>'Kalkulace a Porovnání'!Z637</f>
        <v>0</v>
      </c>
      <c r="AA637" s="44">
        <f>'Kalkulace a Porovnání'!AA637</f>
        <v>0</v>
      </c>
      <c r="AB637" s="30">
        <f>'Kalkulace a Porovnání'!AB637</f>
        <v>0</v>
      </c>
      <c r="AC637" s="146"/>
      <c r="AD637" s="428"/>
      <c r="AG637" s="428"/>
      <c r="AH637" s="428"/>
      <c r="AI637" s="252"/>
      <c r="AJ637" s="252"/>
      <c r="AK637" s="428"/>
      <c r="AL637" s="146"/>
    </row>
    <row r="638" spans="2:38" x14ac:dyDescent="0.25">
      <c r="B638" s="12" t="s">
        <v>32</v>
      </c>
      <c r="C638" s="13" t="s">
        <v>383</v>
      </c>
      <c r="D638" s="3" t="s">
        <v>10</v>
      </c>
      <c r="E638" s="44">
        <f>'Kalkulace a Porovnání'!E638</f>
        <v>0</v>
      </c>
      <c r="F638" s="44">
        <f>'Kalkulace a Porovnání'!F638</f>
        <v>0</v>
      </c>
      <c r="G638" s="44">
        <f>'Kalkulace a Porovnání'!G638</f>
        <v>0</v>
      </c>
      <c r="H638" s="30">
        <f>'Kalkulace a Porovnání'!H638</f>
        <v>0</v>
      </c>
      <c r="K638" s="12" t="s">
        <v>32</v>
      </c>
      <c r="L638" s="13" t="s">
        <v>383</v>
      </c>
      <c r="M638" s="3" t="s">
        <v>10</v>
      </c>
      <c r="N638" s="44">
        <f>'Kalkulace a Porovnání'!N638</f>
        <v>0</v>
      </c>
      <c r="O638" s="44">
        <f>'Kalkulace a Porovnání'!O638</f>
        <v>0</v>
      </c>
      <c r="P638" s="44">
        <f>'Kalkulace a Porovnání'!P638</f>
        <v>0</v>
      </c>
      <c r="Q638" s="30">
        <f>'Kalkulace a Porovnání'!Q638</f>
        <v>0</v>
      </c>
      <c r="T638" s="12" t="s">
        <v>32</v>
      </c>
      <c r="U638" s="13" t="s">
        <v>383</v>
      </c>
      <c r="V638" s="3" t="s">
        <v>10</v>
      </c>
      <c r="W638" s="44">
        <f>'Kalkulace a Porovnání'!W638</f>
        <v>0</v>
      </c>
      <c r="X638" s="44">
        <f>'Kalkulace a Porovnání'!X638</f>
        <v>0</v>
      </c>
      <c r="Y638" s="44">
        <f>'Kalkulace a Porovnání'!Y638</f>
        <v>0</v>
      </c>
      <c r="Z638" s="44">
        <f>'Kalkulace a Porovnání'!Z638</f>
        <v>0</v>
      </c>
      <c r="AA638" s="44">
        <f>'Kalkulace a Porovnání'!AA638</f>
        <v>0</v>
      </c>
      <c r="AB638" s="30">
        <f>'Kalkulace a Porovnání'!AB638</f>
        <v>0</v>
      </c>
      <c r="AC638" s="146"/>
      <c r="AD638" s="428"/>
      <c r="AG638" s="428"/>
      <c r="AH638" s="428"/>
      <c r="AI638" s="252"/>
      <c r="AJ638" s="252"/>
      <c r="AK638" s="428"/>
      <c r="AL638" s="146"/>
    </row>
    <row r="639" spans="2:38" x14ac:dyDescent="0.25">
      <c r="B639" s="12" t="s">
        <v>33</v>
      </c>
      <c r="C639" s="13" t="s">
        <v>382</v>
      </c>
      <c r="D639" s="3" t="s">
        <v>10</v>
      </c>
      <c r="E639" s="44">
        <f>'Kalkulace a Porovnání'!E639</f>
        <v>0</v>
      </c>
      <c r="F639" s="44">
        <f>'Kalkulace a Porovnání'!F639</f>
        <v>0</v>
      </c>
      <c r="G639" s="44">
        <f>'Kalkulace a Porovnání'!G639</f>
        <v>0</v>
      </c>
      <c r="H639" s="30">
        <f>'Kalkulace a Porovnání'!H639</f>
        <v>0</v>
      </c>
      <c r="K639" s="12" t="s">
        <v>33</v>
      </c>
      <c r="L639" s="13" t="s">
        <v>382</v>
      </c>
      <c r="M639" s="3" t="s">
        <v>10</v>
      </c>
      <c r="N639" s="44">
        <f>'Kalkulace a Porovnání'!N639</f>
        <v>0</v>
      </c>
      <c r="O639" s="44">
        <f>'Kalkulace a Porovnání'!O639</f>
        <v>0</v>
      </c>
      <c r="P639" s="44">
        <f>'Kalkulace a Porovnání'!P639</f>
        <v>0</v>
      </c>
      <c r="Q639" s="30">
        <f>'Kalkulace a Porovnání'!Q639</f>
        <v>0</v>
      </c>
      <c r="T639" s="12" t="s">
        <v>33</v>
      </c>
      <c r="U639" s="13" t="s">
        <v>382</v>
      </c>
      <c r="V639" s="3" t="s">
        <v>10</v>
      </c>
      <c r="W639" s="44">
        <f>'Kalkulace a Porovnání'!W639</f>
        <v>0</v>
      </c>
      <c r="X639" s="44">
        <f>'Kalkulace a Porovnání'!X639</f>
        <v>0</v>
      </c>
      <c r="Y639" s="44">
        <f>'Kalkulace a Porovnání'!Y639</f>
        <v>0</v>
      </c>
      <c r="Z639" s="44">
        <f>'Kalkulace a Porovnání'!Z639</f>
        <v>0</v>
      </c>
      <c r="AA639" s="44">
        <f>'Kalkulace a Porovnání'!AA639</f>
        <v>0</v>
      </c>
      <c r="AB639" s="30">
        <f>'Kalkulace a Porovnání'!AB639</f>
        <v>0</v>
      </c>
      <c r="AC639" s="146"/>
      <c r="AD639" s="428"/>
      <c r="AG639" s="252"/>
      <c r="AH639" s="252"/>
      <c r="AI639" s="252"/>
      <c r="AJ639" s="252"/>
      <c r="AK639" s="428"/>
      <c r="AL639" s="146"/>
    </row>
    <row r="640" spans="2:38" x14ac:dyDescent="0.25">
      <c r="B640" s="12" t="s">
        <v>34</v>
      </c>
      <c r="C640" s="21" t="s">
        <v>384</v>
      </c>
      <c r="D640" s="3" t="s">
        <v>10</v>
      </c>
      <c r="E640" s="44">
        <f>'Kalkulace a Porovnání'!E640</f>
        <v>0</v>
      </c>
      <c r="F640" s="44">
        <f>'Kalkulace a Porovnání'!F640</f>
        <v>0</v>
      </c>
      <c r="G640" s="44">
        <f>'Kalkulace a Porovnání'!G640</f>
        <v>0</v>
      </c>
      <c r="H640" s="30">
        <f>'Kalkulace a Porovnání'!H640</f>
        <v>0</v>
      </c>
      <c r="K640" s="12" t="s">
        <v>34</v>
      </c>
      <c r="L640" s="21" t="s">
        <v>384</v>
      </c>
      <c r="M640" s="3" t="s">
        <v>10</v>
      </c>
      <c r="N640" s="44">
        <f>'Kalkulace a Porovnání'!N640</f>
        <v>0</v>
      </c>
      <c r="O640" s="44">
        <f>'Kalkulace a Porovnání'!O640</f>
        <v>0</v>
      </c>
      <c r="P640" s="44">
        <f>'Kalkulace a Porovnání'!P640</f>
        <v>0</v>
      </c>
      <c r="Q640" s="30">
        <f>'Kalkulace a Porovnání'!Q640</f>
        <v>0</v>
      </c>
      <c r="T640" s="12" t="s">
        <v>34</v>
      </c>
      <c r="U640" s="21" t="s">
        <v>384</v>
      </c>
      <c r="V640" s="3" t="s">
        <v>10</v>
      </c>
      <c r="W640" s="44">
        <f>'Kalkulace a Porovnání'!W640</f>
        <v>0</v>
      </c>
      <c r="X640" s="44">
        <f>'Kalkulace a Porovnání'!X640</f>
        <v>0</v>
      </c>
      <c r="Y640" s="44">
        <f>'Kalkulace a Porovnání'!Y640</f>
        <v>0</v>
      </c>
      <c r="Z640" s="44">
        <f>'Kalkulace a Porovnání'!Z640</f>
        <v>0</v>
      </c>
      <c r="AA640" s="44">
        <f>'Kalkulace a Porovnání'!AA640</f>
        <v>0</v>
      </c>
      <c r="AB640" s="30">
        <f>'Kalkulace a Porovnání'!AB640</f>
        <v>0</v>
      </c>
      <c r="AC640" s="146"/>
      <c r="AD640" s="428"/>
      <c r="AG640" s="252"/>
      <c r="AH640" s="252"/>
      <c r="AI640" s="252"/>
      <c r="AJ640" s="252"/>
      <c r="AK640" s="428"/>
      <c r="AL640" s="146"/>
    </row>
    <row r="641" spans="2:38" x14ac:dyDescent="0.25">
      <c r="B641" s="9" t="s">
        <v>35</v>
      </c>
      <c r="C641" s="10" t="s">
        <v>387</v>
      </c>
      <c r="D641" s="11" t="s">
        <v>10</v>
      </c>
      <c r="E641" s="41">
        <f>'Kalkulace a Porovnání'!E641</f>
        <v>0</v>
      </c>
      <c r="F641" s="41">
        <f>'Kalkulace a Porovnání'!F641</f>
        <v>0</v>
      </c>
      <c r="G641" s="41">
        <f>'Kalkulace a Porovnání'!G641</f>
        <v>0</v>
      </c>
      <c r="H641" s="86">
        <f>'Kalkulace a Porovnání'!H641</f>
        <v>0</v>
      </c>
      <c r="K641" s="9" t="s">
        <v>35</v>
      </c>
      <c r="L641" s="10" t="s">
        <v>387</v>
      </c>
      <c r="M641" s="11" t="s">
        <v>10</v>
      </c>
      <c r="N641" s="41">
        <f>'Kalkulace a Porovnání'!N641</f>
        <v>0</v>
      </c>
      <c r="O641" s="41">
        <f>'Kalkulace a Porovnání'!O641</f>
        <v>0</v>
      </c>
      <c r="P641" s="41">
        <f>'Kalkulace a Porovnání'!P641</f>
        <v>0</v>
      </c>
      <c r="Q641" s="86">
        <f>'Kalkulace a Porovnání'!Q641</f>
        <v>0</v>
      </c>
      <c r="T641" s="9" t="s">
        <v>35</v>
      </c>
      <c r="U641" s="10" t="s">
        <v>387</v>
      </c>
      <c r="V641" s="11" t="s">
        <v>10</v>
      </c>
      <c r="W641" s="41">
        <f>'Kalkulace a Porovnání'!W641</f>
        <v>0</v>
      </c>
      <c r="X641" s="41">
        <f>'Kalkulace a Porovnání'!X641</f>
        <v>0</v>
      </c>
      <c r="Y641" s="41">
        <f>'Kalkulace a Porovnání'!Y641</f>
        <v>0</v>
      </c>
      <c r="Z641" s="41">
        <f>'Kalkulace a Porovnání'!Z641</f>
        <v>0</v>
      </c>
      <c r="AA641" s="41">
        <f>'Kalkulace a Porovnání'!AA641</f>
        <v>0</v>
      </c>
      <c r="AB641" s="86">
        <f>'Kalkulace a Porovnání'!AB641</f>
        <v>0</v>
      </c>
      <c r="AC641" s="146"/>
      <c r="AD641" s="428"/>
      <c r="AG641" s="429"/>
      <c r="AH641" s="429"/>
      <c r="AI641" s="252"/>
      <c r="AJ641" s="252"/>
      <c r="AK641" s="428"/>
      <c r="AL641" s="146"/>
    </row>
    <row r="642" spans="2:38" x14ac:dyDescent="0.25">
      <c r="B642" s="12" t="s">
        <v>37</v>
      </c>
      <c r="C642" s="13" t="s">
        <v>38</v>
      </c>
      <c r="D642" s="3" t="s">
        <v>10</v>
      </c>
      <c r="E642" s="44">
        <f>'Kalkulace a Porovnání'!E642</f>
        <v>0</v>
      </c>
      <c r="F642" s="44">
        <f>'Kalkulace a Porovnání'!F642</f>
        <v>0</v>
      </c>
      <c r="G642" s="44">
        <f>'Kalkulace a Porovnání'!G642</f>
        <v>0</v>
      </c>
      <c r="H642" s="30">
        <f>'Kalkulace a Porovnání'!H642</f>
        <v>0</v>
      </c>
      <c r="K642" s="12" t="s">
        <v>37</v>
      </c>
      <c r="L642" s="13" t="s">
        <v>38</v>
      </c>
      <c r="M642" s="3" t="s">
        <v>10</v>
      </c>
      <c r="N642" s="44">
        <f>'Kalkulace a Porovnání'!N642</f>
        <v>0</v>
      </c>
      <c r="O642" s="44">
        <f>'Kalkulace a Porovnání'!O642</f>
        <v>0</v>
      </c>
      <c r="P642" s="44">
        <f>'Kalkulace a Porovnání'!P642</f>
        <v>0</v>
      </c>
      <c r="Q642" s="30">
        <f>'Kalkulace a Porovnání'!Q642</f>
        <v>0</v>
      </c>
      <c r="T642" s="12" t="s">
        <v>37</v>
      </c>
      <c r="U642" s="13" t="s">
        <v>38</v>
      </c>
      <c r="V642" s="3" t="s">
        <v>10</v>
      </c>
      <c r="W642" s="44">
        <f>'Kalkulace a Porovnání'!W642</f>
        <v>0</v>
      </c>
      <c r="X642" s="44">
        <f>'Kalkulace a Porovnání'!X642</f>
        <v>0</v>
      </c>
      <c r="Y642" s="44">
        <f>'Kalkulace a Porovnání'!Y642</f>
        <v>0</v>
      </c>
      <c r="Z642" s="44">
        <f>'Kalkulace a Porovnání'!Z642</f>
        <v>0</v>
      </c>
      <c r="AA642" s="44">
        <f>'Kalkulace a Porovnání'!AA642</f>
        <v>0</v>
      </c>
      <c r="AB642" s="30">
        <f>'Kalkulace a Porovnání'!AB642</f>
        <v>0</v>
      </c>
      <c r="AC642" s="146"/>
      <c r="AD642" s="428"/>
      <c r="AG642" s="1119"/>
      <c r="AH642" s="1119"/>
      <c r="AI642" s="252"/>
      <c r="AJ642" s="252"/>
      <c r="AK642" s="428"/>
      <c r="AL642" s="146"/>
    </row>
    <row r="643" spans="2:38" x14ac:dyDescent="0.25">
      <c r="B643" s="12" t="s">
        <v>39</v>
      </c>
      <c r="C643" s="12" t="s">
        <v>40</v>
      </c>
      <c r="D643" s="3" t="s">
        <v>10</v>
      </c>
      <c r="E643" s="44">
        <f>'Kalkulace a Porovnání'!E643</f>
        <v>0</v>
      </c>
      <c r="F643" s="44">
        <f>'Kalkulace a Porovnání'!F643</f>
        <v>0</v>
      </c>
      <c r="G643" s="44">
        <f>'Kalkulace a Porovnání'!G643</f>
        <v>0</v>
      </c>
      <c r="H643" s="30">
        <f>'Kalkulace a Porovnání'!H643</f>
        <v>0</v>
      </c>
      <c r="K643" s="12" t="s">
        <v>39</v>
      </c>
      <c r="L643" s="12" t="s">
        <v>40</v>
      </c>
      <c r="M643" s="3" t="s">
        <v>10</v>
      </c>
      <c r="N643" s="44">
        <f>'Kalkulace a Porovnání'!N643</f>
        <v>0</v>
      </c>
      <c r="O643" s="44">
        <f>'Kalkulace a Porovnání'!O643</f>
        <v>0</v>
      </c>
      <c r="P643" s="44">
        <f>'Kalkulace a Porovnání'!P643</f>
        <v>0</v>
      </c>
      <c r="Q643" s="30">
        <f>'Kalkulace a Porovnání'!Q643</f>
        <v>0</v>
      </c>
      <c r="T643" s="12" t="s">
        <v>39</v>
      </c>
      <c r="U643" s="12" t="s">
        <v>40</v>
      </c>
      <c r="V643" s="3" t="s">
        <v>10</v>
      </c>
      <c r="W643" s="44">
        <f>'Kalkulace a Porovnání'!W643</f>
        <v>0</v>
      </c>
      <c r="X643" s="44">
        <f>'Kalkulace a Porovnání'!X643</f>
        <v>0</v>
      </c>
      <c r="Y643" s="44">
        <f>'Kalkulace a Porovnání'!Y643</f>
        <v>0</v>
      </c>
      <c r="Z643" s="44">
        <f>'Kalkulace a Porovnání'!Z643</f>
        <v>0</v>
      </c>
      <c r="AA643" s="44">
        <f>'Kalkulace a Porovnání'!AA643</f>
        <v>0</v>
      </c>
      <c r="AB643" s="30">
        <f>'Kalkulace a Porovnání'!AB643</f>
        <v>0</v>
      </c>
      <c r="AC643" s="146"/>
      <c r="AD643" s="428"/>
      <c r="AG643" s="1119"/>
      <c r="AH643" s="1119"/>
      <c r="AI643" s="252"/>
      <c r="AJ643" s="252"/>
      <c r="AK643" s="428"/>
      <c r="AL643" s="146"/>
    </row>
    <row r="644" spans="2:38" x14ac:dyDescent="0.25">
      <c r="B644" s="12" t="s">
        <v>41</v>
      </c>
      <c r="C644" s="13" t="s">
        <v>42</v>
      </c>
      <c r="D644" s="3" t="s">
        <v>10</v>
      </c>
      <c r="E644" s="44">
        <f>'Kalkulace a Porovnání'!E644</f>
        <v>0</v>
      </c>
      <c r="F644" s="44">
        <f>'Kalkulace a Porovnání'!F644</f>
        <v>0</v>
      </c>
      <c r="G644" s="44">
        <f>'Kalkulace a Porovnání'!G644</f>
        <v>0</v>
      </c>
      <c r="H644" s="30">
        <f>'Kalkulace a Porovnání'!H644</f>
        <v>0</v>
      </c>
      <c r="K644" s="12" t="s">
        <v>41</v>
      </c>
      <c r="L644" s="13" t="s">
        <v>42</v>
      </c>
      <c r="M644" s="3" t="s">
        <v>10</v>
      </c>
      <c r="N644" s="44">
        <f>'Kalkulace a Porovnání'!N644</f>
        <v>0</v>
      </c>
      <c r="O644" s="44">
        <f>'Kalkulace a Porovnání'!O644</f>
        <v>0</v>
      </c>
      <c r="P644" s="44">
        <f>'Kalkulace a Porovnání'!P644</f>
        <v>0</v>
      </c>
      <c r="Q644" s="30">
        <f>'Kalkulace a Porovnání'!Q644</f>
        <v>0</v>
      </c>
      <c r="T644" s="12" t="s">
        <v>41</v>
      </c>
      <c r="U644" s="13" t="s">
        <v>42</v>
      </c>
      <c r="V644" s="3" t="s">
        <v>10</v>
      </c>
      <c r="W644" s="44">
        <f>'Kalkulace a Porovnání'!W644</f>
        <v>0</v>
      </c>
      <c r="X644" s="44">
        <f>'Kalkulace a Porovnání'!X644</f>
        <v>0</v>
      </c>
      <c r="Y644" s="44">
        <f>'Kalkulace a Porovnání'!Y644</f>
        <v>0</v>
      </c>
      <c r="Z644" s="44">
        <f>'Kalkulace a Porovnání'!Z644</f>
        <v>0</v>
      </c>
      <c r="AA644" s="44">
        <f>'Kalkulace a Porovnání'!AA644</f>
        <v>0</v>
      </c>
      <c r="AB644" s="30">
        <f>'Kalkulace a Porovnání'!AB644</f>
        <v>0</v>
      </c>
      <c r="AC644" s="146"/>
      <c r="AD644" s="428"/>
      <c r="AG644" s="426"/>
      <c r="AH644" s="426"/>
      <c r="AI644" s="252"/>
      <c r="AJ644" s="252"/>
      <c r="AK644" s="428"/>
      <c r="AL644" s="146"/>
    </row>
    <row r="645" spans="2:38" x14ac:dyDescent="0.25">
      <c r="B645" s="9" t="s">
        <v>43</v>
      </c>
      <c r="C645" s="10" t="s">
        <v>44</v>
      </c>
      <c r="D645" s="11" t="s">
        <v>10</v>
      </c>
      <c r="E645" s="44">
        <f>'Kalkulace a Porovnání'!E645</f>
        <v>0</v>
      </c>
      <c r="F645" s="44">
        <f>'Kalkulace a Porovnání'!F645</f>
        <v>0</v>
      </c>
      <c r="G645" s="44">
        <f>'Kalkulace a Porovnání'!G645</f>
        <v>0</v>
      </c>
      <c r="H645" s="30">
        <f>'Kalkulace a Porovnání'!H645</f>
        <v>0</v>
      </c>
      <c r="K645" s="9" t="s">
        <v>43</v>
      </c>
      <c r="L645" s="10" t="s">
        <v>44</v>
      </c>
      <c r="M645" s="11" t="s">
        <v>10</v>
      </c>
      <c r="N645" s="44">
        <f>'Kalkulace a Porovnání'!N645</f>
        <v>0</v>
      </c>
      <c r="O645" s="44">
        <f>'Kalkulace a Porovnání'!O645</f>
        <v>0</v>
      </c>
      <c r="P645" s="44">
        <f>'Kalkulace a Porovnání'!P645</f>
        <v>0</v>
      </c>
      <c r="Q645" s="30">
        <f>'Kalkulace a Porovnání'!Q645</f>
        <v>0</v>
      </c>
      <c r="T645" s="9" t="s">
        <v>43</v>
      </c>
      <c r="U645" s="10" t="s">
        <v>44</v>
      </c>
      <c r="V645" s="11" t="s">
        <v>10</v>
      </c>
      <c r="W645" s="44">
        <f>'Kalkulace a Porovnání'!W645</f>
        <v>0</v>
      </c>
      <c r="X645" s="44">
        <f>'Kalkulace a Porovnání'!X645</f>
        <v>0</v>
      </c>
      <c r="Y645" s="44">
        <f>'Kalkulace a Porovnání'!Y645</f>
        <v>0</v>
      </c>
      <c r="Z645" s="44">
        <f>'Kalkulace a Porovnání'!Z645</f>
        <v>0</v>
      </c>
      <c r="AA645" s="44">
        <f>'Kalkulace a Porovnání'!AA645</f>
        <v>0</v>
      </c>
      <c r="AB645" s="30">
        <f>'Kalkulace a Porovnání'!AB645</f>
        <v>0</v>
      </c>
      <c r="AC645" s="146"/>
      <c r="AD645" s="428"/>
      <c r="AG645" s="147"/>
      <c r="AH645" s="147"/>
      <c r="AI645" s="252"/>
      <c r="AJ645" s="252"/>
      <c r="AK645" s="428"/>
      <c r="AL645" s="146"/>
    </row>
    <row r="646" spans="2:38" x14ac:dyDescent="0.25">
      <c r="B646" s="9" t="s">
        <v>45</v>
      </c>
      <c r="C646" s="10" t="s">
        <v>388</v>
      </c>
      <c r="D646" s="11" t="s">
        <v>10</v>
      </c>
      <c r="E646" s="44">
        <f>'Kalkulace a Porovnání'!E646</f>
        <v>0</v>
      </c>
      <c r="F646" s="44">
        <f>'Kalkulace a Porovnání'!F646</f>
        <v>0</v>
      </c>
      <c r="G646" s="44">
        <f>'Kalkulace a Porovnání'!G646</f>
        <v>0</v>
      </c>
      <c r="H646" s="30">
        <f>'Kalkulace a Porovnání'!H646</f>
        <v>0</v>
      </c>
      <c r="K646" s="9" t="s">
        <v>45</v>
      </c>
      <c r="L646" s="10" t="s">
        <v>388</v>
      </c>
      <c r="M646" s="11" t="s">
        <v>10</v>
      </c>
      <c r="N646" s="44">
        <f>'Kalkulace a Porovnání'!N646</f>
        <v>0</v>
      </c>
      <c r="O646" s="44">
        <f>'Kalkulace a Porovnání'!O646</f>
        <v>0</v>
      </c>
      <c r="P646" s="44">
        <f>'Kalkulace a Porovnání'!P646</f>
        <v>0</v>
      </c>
      <c r="Q646" s="30">
        <f>'Kalkulace a Porovnání'!Q646</f>
        <v>0</v>
      </c>
      <c r="T646" s="9" t="s">
        <v>45</v>
      </c>
      <c r="U646" s="10" t="s">
        <v>388</v>
      </c>
      <c r="V646" s="11" t="s">
        <v>10</v>
      </c>
      <c r="W646" s="44">
        <f>'Kalkulace a Porovnání'!W646</f>
        <v>0</v>
      </c>
      <c r="X646" s="44">
        <f>'Kalkulace a Porovnání'!X646</f>
        <v>0</v>
      </c>
      <c r="Y646" s="44">
        <f>'Kalkulace a Porovnání'!Y646</f>
        <v>0</v>
      </c>
      <c r="Z646" s="44">
        <f>'Kalkulace a Porovnání'!Z646</f>
        <v>0</v>
      </c>
      <c r="AA646" s="44">
        <f>'Kalkulace a Porovnání'!AA646</f>
        <v>0</v>
      </c>
      <c r="AB646" s="30">
        <f>'Kalkulace a Porovnání'!AB646</f>
        <v>0</v>
      </c>
      <c r="AC646" s="146"/>
      <c r="AD646" s="428"/>
      <c r="AG646" s="147"/>
      <c r="AH646" s="147"/>
      <c r="AI646" s="252"/>
      <c r="AJ646" s="252"/>
      <c r="AK646" s="428"/>
      <c r="AL646" s="146"/>
    </row>
    <row r="647" spans="2:38" x14ac:dyDescent="0.25">
      <c r="B647" s="9" t="s">
        <v>46</v>
      </c>
      <c r="C647" s="10" t="s">
        <v>47</v>
      </c>
      <c r="D647" s="11" t="s">
        <v>10</v>
      </c>
      <c r="E647" s="44">
        <f>'Kalkulace a Porovnání'!E647</f>
        <v>0</v>
      </c>
      <c r="F647" s="44">
        <f>'Kalkulace a Porovnání'!F647</f>
        <v>0</v>
      </c>
      <c r="G647" s="44">
        <f>'Kalkulace a Porovnání'!G647</f>
        <v>0</v>
      </c>
      <c r="H647" s="30">
        <f>'Kalkulace a Porovnání'!H647</f>
        <v>0</v>
      </c>
      <c r="K647" s="9" t="s">
        <v>46</v>
      </c>
      <c r="L647" s="10" t="s">
        <v>47</v>
      </c>
      <c r="M647" s="11" t="s">
        <v>10</v>
      </c>
      <c r="N647" s="44">
        <f>'Kalkulace a Porovnání'!N647</f>
        <v>0</v>
      </c>
      <c r="O647" s="44">
        <f>'Kalkulace a Porovnání'!O647</f>
        <v>0</v>
      </c>
      <c r="P647" s="44">
        <f>'Kalkulace a Porovnání'!P647</f>
        <v>0</v>
      </c>
      <c r="Q647" s="30">
        <f>'Kalkulace a Porovnání'!Q647</f>
        <v>0</v>
      </c>
      <c r="T647" s="9" t="s">
        <v>46</v>
      </c>
      <c r="U647" s="10" t="s">
        <v>47</v>
      </c>
      <c r="V647" s="11" t="s">
        <v>10</v>
      </c>
      <c r="W647" s="44">
        <f>'Kalkulace a Porovnání'!W647</f>
        <v>0</v>
      </c>
      <c r="X647" s="44">
        <f>'Kalkulace a Porovnání'!X647</f>
        <v>0</v>
      </c>
      <c r="Y647" s="44">
        <f>'Kalkulace a Porovnání'!Y647</f>
        <v>0</v>
      </c>
      <c r="Z647" s="44">
        <f>'Kalkulace a Porovnání'!Z647</f>
        <v>0</v>
      </c>
      <c r="AA647" s="44">
        <f>'Kalkulace a Porovnání'!AA647</f>
        <v>0</v>
      </c>
      <c r="AB647" s="30">
        <f>'Kalkulace a Porovnání'!AB647</f>
        <v>0</v>
      </c>
      <c r="AC647" s="146"/>
      <c r="AD647" s="428"/>
      <c r="AG647" s="147"/>
      <c r="AH647" s="147"/>
      <c r="AI647" s="252"/>
      <c r="AJ647" s="252"/>
      <c r="AK647" s="428"/>
      <c r="AL647" s="146"/>
    </row>
    <row r="648" spans="2:38" x14ac:dyDescent="0.25">
      <c r="B648" s="9" t="s">
        <v>48</v>
      </c>
      <c r="C648" s="10" t="s">
        <v>49</v>
      </c>
      <c r="D648" s="11" t="s">
        <v>10</v>
      </c>
      <c r="E648" s="44">
        <f>'Kalkulace a Porovnání'!E648</f>
        <v>0</v>
      </c>
      <c r="F648" s="44">
        <f>'Kalkulace a Porovnání'!F648</f>
        <v>0</v>
      </c>
      <c r="G648" s="44">
        <f>'Kalkulace a Porovnání'!G648</f>
        <v>0</v>
      </c>
      <c r="H648" s="30">
        <f>'Kalkulace a Porovnání'!H648</f>
        <v>0</v>
      </c>
      <c r="K648" s="9" t="s">
        <v>48</v>
      </c>
      <c r="L648" s="10" t="s">
        <v>49</v>
      </c>
      <c r="M648" s="11" t="s">
        <v>10</v>
      </c>
      <c r="N648" s="44">
        <f>'Kalkulace a Porovnání'!N648</f>
        <v>0</v>
      </c>
      <c r="O648" s="44">
        <f>'Kalkulace a Porovnání'!O648</f>
        <v>0</v>
      </c>
      <c r="P648" s="44">
        <f>'Kalkulace a Porovnání'!P648</f>
        <v>0</v>
      </c>
      <c r="Q648" s="30">
        <f>'Kalkulace a Porovnání'!Q648</f>
        <v>0</v>
      </c>
      <c r="T648" s="9" t="s">
        <v>48</v>
      </c>
      <c r="U648" s="10" t="s">
        <v>49</v>
      </c>
      <c r="V648" s="11" t="s">
        <v>10</v>
      </c>
      <c r="W648" s="44">
        <f>'Kalkulace a Porovnání'!W648</f>
        <v>0</v>
      </c>
      <c r="X648" s="44">
        <f>'Kalkulace a Porovnání'!X648</f>
        <v>0</v>
      </c>
      <c r="Y648" s="44">
        <f>'Kalkulace a Porovnání'!Y648</f>
        <v>0</v>
      </c>
      <c r="Z648" s="44">
        <f>'Kalkulace a Porovnání'!Z648</f>
        <v>0</v>
      </c>
      <c r="AA648" s="44">
        <f>'Kalkulace a Porovnání'!AA648</f>
        <v>0</v>
      </c>
      <c r="AB648" s="30">
        <f>'Kalkulace a Porovnání'!AB648</f>
        <v>0</v>
      </c>
      <c r="AC648" s="146"/>
      <c r="AD648" s="428"/>
      <c r="AG648" s="147"/>
      <c r="AH648" s="147"/>
      <c r="AI648" s="252"/>
      <c r="AJ648" s="252"/>
      <c r="AK648" s="428"/>
      <c r="AL648" s="146"/>
    </row>
    <row r="649" spans="2:38" x14ac:dyDescent="0.25">
      <c r="B649" s="12" t="s">
        <v>386</v>
      </c>
      <c r="C649" s="13" t="s">
        <v>385</v>
      </c>
      <c r="D649" s="3" t="s">
        <v>10</v>
      </c>
      <c r="E649" s="44">
        <f>'Kalkulace a Porovnání'!E649</f>
        <v>0</v>
      </c>
      <c r="F649" s="44">
        <f>'Kalkulace a Porovnání'!F649</f>
        <v>0.02</v>
      </c>
      <c r="G649" s="44">
        <f>'Kalkulace a Porovnání'!G649</f>
        <v>0</v>
      </c>
      <c r="H649" s="30">
        <f>'Kalkulace a Porovnání'!H649</f>
        <v>0.02</v>
      </c>
      <c r="K649" s="12" t="s">
        <v>386</v>
      </c>
      <c r="L649" s="13" t="s">
        <v>385</v>
      </c>
      <c r="M649" s="3" t="s">
        <v>10</v>
      </c>
      <c r="N649" s="44">
        <f>'Kalkulace a Porovnání'!N649</f>
        <v>0</v>
      </c>
      <c r="O649" s="44">
        <f>'Kalkulace a Porovnání'!O649</f>
        <v>0</v>
      </c>
      <c r="P649" s="44">
        <f>'Kalkulace a Porovnání'!P649</f>
        <v>0</v>
      </c>
      <c r="Q649" s="30">
        <f>'Kalkulace a Porovnání'!Q649</f>
        <v>0</v>
      </c>
      <c r="T649" s="12" t="s">
        <v>386</v>
      </c>
      <c r="U649" s="13" t="s">
        <v>385</v>
      </c>
      <c r="V649" s="3" t="s">
        <v>10</v>
      </c>
      <c r="W649" s="44">
        <f>'Kalkulace a Porovnání'!W649</f>
        <v>0</v>
      </c>
      <c r="X649" s="44">
        <f>'Kalkulace a Porovnání'!X649</f>
        <v>0</v>
      </c>
      <c r="Y649" s="44">
        <f>'Kalkulace a Porovnání'!Y649</f>
        <v>0</v>
      </c>
      <c r="Z649" s="44">
        <f>'Kalkulace a Porovnání'!Z649</f>
        <v>0</v>
      </c>
      <c r="AA649" s="44">
        <f>'Kalkulace a Porovnání'!AA649</f>
        <v>0</v>
      </c>
      <c r="AB649" s="30">
        <f>'Kalkulace a Porovnání'!AB649</f>
        <v>0</v>
      </c>
      <c r="AC649" s="146"/>
      <c r="AD649" s="428"/>
      <c r="AG649" s="147"/>
      <c r="AH649" s="147"/>
      <c r="AI649" s="252"/>
      <c r="AJ649" s="252"/>
      <c r="AK649" s="428"/>
      <c r="AL649" s="146"/>
    </row>
    <row r="650" spans="2:38" x14ac:dyDescent="0.25">
      <c r="B650" s="9" t="s">
        <v>50</v>
      </c>
      <c r="C650" s="10" t="s">
        <v>391</v>
      </c>
      <c r="D650" s="11" t="s">
        <v>10</v>
      </c>
      <c r="E650" s="41">
        <f>'Kalkulace a Porovnání'!E650</f>
        <v>0</v>
      </c>
      <c r="F650" s="41">
        <f>'Kalkulace a Porovnání'!F650</f>
        <v>0</v>
      </c>
      <c r="G650" s="41">
        <f>'Kalkulace a Porovnání'!G650</f>
        <v>0</v>
      </c>
      <c r="H650" s="86">
        <f>'Kalkulace a Porovnání'!H650</f>
        <v>0</v>
      </c>
      <c r="K650" s="9" t="s">
        <v>50</v>
      </c>
      <c r="L650" s="10" t="s">
        <v>391</v>
      </c>
      <c r="M650" s="11" t="s">
        <v>10</v>
      </c>
      <c r="N650" s="41">
        <f>'Kalkulace a Porovnání'!N650</f>
        <v>0</v>
      </c>
      <c r="O650" s="41">
        <f>'Kalkulace a Porovnání'!O650</f>
        <v>0</v>
      </c>
      <c r="P650" s="41">
        <f>'Kalkulace a Porovnání'!P650</f>
        <v>0</v>
      </c>
      <c r="Q650" s="86">
        <f>'Kalkulace a Porovnání'!Q650</f>
        <v>0</v>
      </c>
      <c r="T650" s="9" t="s">
        <v>50</v>
      </c>
      <c r="U650" s="10" t="s">
        <v>391</v>
      </c>
      <c r="V650" s="11" t="s">
        <v>10</v>
      </c>
      <c r="W650" s="41">
        <f>'Kalkulace a Porovnání'!W650</f>
        <v>0</v>
      </c>
      <c r="X650" s="41">
        <f>'Kalkulace a Porovnání'!X650</f>
        <v>0</v>
      </c>
      <c r="Y650" s="41">
        <f>'Kalkulace a Porovnání'!Y650</f>
        <v>0</v>
      </c>
      <c r="Z650" s="41">
        <f>'Kalkulace a Porovnání'!Z650</f>
        <v>0</v>
      </c>
      <c r="AA650" s="41">
        <f>'Kalkulace a Porovnání'!AA650</f>
        <v>0</v>
      </c>
      <c r="AB650" s="86">
        <f>'Kalkulace a Porovnání'!AB650</f>
        <v>0</v>
      </c>
      <c r="AC650" s="146"/>
      <c r="AD650" s="428"/>
      <c r="AG650" s="147"/>
      <c r="AH650" s="147"/>
      <c r="AI650" s="252"/>
      <c r="AJ650" s="252"/>
      <c r="AK650" s="428"/>
      <c r="AL650" s="146"/>
    </row>
    <row r="651" spans="2:38" x14ac:dyDescent="0.25">
      <c r="B651" s="12" t="s">
        <v>389</v>
      </c>
      <c r="C651" s="13" t="s">
        <v>96</v>
      </c>
      <c r="D651" s="3" t="s">
        <v>10</v>
      </c>
      <c r="E651" s="329">
        <f>'Kalkulace a Porovnání'!E651</f>
        <v>0</v>
      </c>
      <c r="F651" s="329">
        <f>'Kalkulace a Porovnání'!F651</f>
        <v>0</v>
      </c>
      <c r="G651" s="329">
        <f>'Kalkulace a Porovnání'!G651</f>
        <v>0</v>
      </c>
      <c r="H651" s="330">
        <f>'Kalkulace a Porovnání'!H651</f>
        <v>0</v>
      </c>
      <c r="K651" s="12" t="s">
        <v>389</v>
      </c>
      <c r="L651" s="13" t="s">
        <v>96</v>
      </c>
      <c r="M651" s="3" t="s">
        <v>10</v>
      </c>
      <c r="N651" s="329">
        <f>'Kalkulace a Porovnání'!N651</f>
        <v>0</v>
      </c>
      <c r="O651" s="329">
        <f>'Kalkulace a Porovnání'!O651</f>
        <v>0</v>
      </c>
      <c r="P651" s="329">
        <f>'Kalkulace a Porovnání'!P651</f>
        <v>0</v>
      </c>
      <c r="Q651" s="330">
        <f>'Kalkulace a Porovnání'!Q651</f>
        <v>0</v>
      </c>
      <c r="T651" s="12" t="s">
        <v>389</v>
      </c>
      <c r="U651" s="13" t="s">
        <v>96</v>
      </c>
      <c r="V651" s="3" t="s">
        <v>10</v>
      </c>
      <c r="W651" s="329">
        <f>'Kalkulace a Porovnání'!W651</f>
        <v>0</v>
      </c>
      <c r="X651" s="329">
        <f>'Kalkulace a Porovnání'!X651</f>
        <v>0</v>
      </c>
      <c r="Y651" s="329">
        <f>'Kalkulace a Porovnání'!Y651</f>
        <v>0</v>
      </c>
      <c r="Z651" s="329">
        <f>'Kalkulace a Porovnání'!Z651</f>
        <v>0</v>
      </c>
      <c r="AA651" s="329">
        <f>'Kalkulace a Porovnání'!AA651</f>
        <v>0</v>
      </c>
      <c r="AB651" s="330">
        <f>'Kalkulace a Porovnání'!AB651</f>
        <v>0</v>
      </c>
      <c r="AC651" s="146"/>
      <c r="AD651" s="428"/>
      <c r="AG651" s="1120"/>
      <c r="AH651" s="1120"/>
      <c r="AI651" s="252"/>
      <c r="AJ651" s="252"/>
      <c r="AK651" s="428"/>
      <c r="AL651" s="146"/>
    </row>
    <row r="652" spans="2:38" x14ac:dyDescent="0.25">
      <c r="B652" s="12" t="s">
        <v>389</v>
      </c>
      <c r="C652" s="13" t="s">
        <v>97</v>
      </c>
      <c r="D652" s="3" t="s">
        <v>10</v>
      </c>
      <c r="E652" s="329">
        <f>'Kalkulace a Porovnání'!E652</f>
        <v>0</v>
      </c>
      <c r="F652" s="329">
        <f>'Kalkulace a Porovnání'!F652</f>
        <v>0</v>
      </c>
      <c r="G652" s="329">
        <f>'Kalkulace a Porovnání'!G652</f>
        <v>0</v>
      </c>
      <c r="H652" s="330">
        <f>'Kalkulace a Porovnání'!H652</f>
        <v>0</v>
      </c>
      <c r="K652" s="12" t="s">
        <v>389</v>
      </c>
      <c r="L652" s="13" t="s">
        <v>97</v>
      </c>
      <c r="M652" s="3" t="s">
        <v>10</v>
      </c>
      <c r="N652" s="329">
        <f>'Kalkulace a Porovnání'!N652</f>
        <v>0</v>
      </c>
      <c r="O652" s="329">
        <f>'Kalkulace a Porovnání'!O652</f>
        <v>0</v>
      </c>
      <c r="P652" s="329">
        <f>'Kalkulace a Porovnání'!P652</f>
        <v>0</v>
      </c>
      <c r="Q652" s="330">
        <f>'Kalkulace a Porovnání'!Q652</f>
        <v>0</v>
      </c>
      <c r="T652" s="12" t="s">
        <v>389</v>
      </c>
      <c r="U652" s="13" t="s">
        <v>97</v>
      </c>
      <c r="V652" s="3" t="s">
        <v>10</v>
      </c>
      <c r="W652" s="329">
        <f>'Kalkulace a Porovnání'!W652</f>
        <v>0</v>
      </c>
      <c r="X652" s="329">
        <f>'Kalkulace a Porovnání'!X652</f>
        <v>0</v>
      </c>
      <c r="Y652" s="329">
        <f>'Kalkulace a Porovnání'!Y652</f>
        <v>0</v>
      </c>
      <c r="Z652" s="329">
        <f>'Kalkulace a Porovnání'!Z652</f>
        <v>0</v>
      </c>
      <c r="AA652" s="329">
        <f>'Kalkulace a Porovnání'!AA652</f>
        <v>0</v>
      </c>
      <c r="AB652" s="330">
        <f>'Kalkulace a Porovnání'!AB652</f>
        <v>0</v>
      </c>
      <c r="AC652" s="146"/>
      <c r="AD652" s="428"/>
      <c r="AG652" s="1120"/>
      <c r="AH652" s="1120"/>
      <c r="AI652" s="252"/>
      <c r="AJ652" s="252"/>
      <c r="AK652" s="428"/>
      <c r="AL652" s="146"/>
    </row>
    <row r="653" spans="2:38" x14ac:dyDescent="0.25">
      <c r="B653" s="12" t="s">
        <v>51</v>
      </c>
      <c r="C653" s="13" t="s">
        <v>54</v>
      </c>
      <c r="D653" s="3" t="s">
        <v>55</v>
      </c>
      <c r="E653" s="331">
        <f>'Kalkulace a Porovnání'!E653</f>
        <v>0</v>
      </c>
      <c r="F653" s="331">
        <f>'Kalkulace a Porovnání'!F653</f>
        <v>0</v>
      </c>
      <c r="G653" s="331">
        <f>'Kalkulace a Porovnání'!G653</f>
        <v>0</v>
      </c>
      <c r="H653" s="332">
        <f>'Kalkulace a Porovnání'!H653</f>
        <v>0</v>
      </c>
      <c r="K653" s="12" t="s">
        <v>51</v>
      </c>
      <c r="L653" s="13" t="s">
        <v>54</v>
      </c>
      <c r="M653" s="3" t="s">
        <v>55</v>
      </c>
      <c r="N653" s="331">
        <f>'Kalkulace a Porovnání'!N653</f>
        <v>0</v>
      </c>
      <c r="O653" s="331">
        <f>'Kalkulace a Porovnání'!O653</f>
        <v>0</v>
      </c>
      <c r="P653" s="331">
        <f>'Kalkulace a Porovnání'!P653</f>
        <v>0</v>
      </c>
      <c r="Q653" s="332">
        <f>'Kalkulace a Porovnání'!Q653</f>
        <v>0</v>
      </c>
      <c r="T653" s="12" t="s">
        <v>51</v>
      </c>
      <c r="U653" s="13" t="s">
        <v>54</v>
      </c>
      <c r="V653" s="3" t="s">
        <v>55</v>
      </c>
      <c r="W653" s="331">
        <f>'Kalkulace a Porovnání'!W653</f>
        <v>0</v>
      </c>
      <c r="X653" s="331">
        <f>'Kalkulace a Porovnání'!X653</f>
        <v>0</v>
      </c>
      <c r="Y653" s="331">
        <f>'Kalkulace a Porovnání'!Y653</f>
        <v>0</v>
      </c>
      <c r="Z653" s="331">
        <f>'Kalkulace a Porovnání'!Z653</f>
        <v>0</v>
      </c>
      <c r="AA653" s="331">
        <f>'Kalkulace a Porovnání'!AA653</f>
        <v>0</v>
      </c>
      <c r="AB653" s="332">
        <f>'Kalkulace a Porovnání'!AB653</f>
        <v>0</v>
      </c>
      <c r="AC653" s="146"/>
      <c r="AD653" s="428"/>
      <c r="AG653" s="1119"/>
      <c r="AH653" s="1119"/>
      <c r="AI653" s="252"/>
      <c r="AJ653" s="252"/>
      <c r="AK653" s="428"/>
      <c r="AL653" s="146"/>
    </row>
    <row r="654" spans="2:38" x14ac:dyDescent="0.25">
      <c r="B654" s="12" t="s">
        <v>52</v>
      </c>
      <c r="C654" s="13" t="s">
        <v>57</v>
      </c>
      <c r="D654" s="3" t="s">
        <v>58</v>
      </c>
      <c r="E654" s="44">
        <f>'Kalkulace a Porovnání'!E654</f>
        <v>0</v>
      </c>
      <c r="F654" s="44">
        <f>'Kalkulace a Porovnání'!F654</f>
        <v>0</v>
      </c>
      <c r="G654" s="44">
        <f>'Kalkulace a Porovnání'!G654</f>
        <v>0</v>
      </c>
      <c r="H654" s="30">
        <f>'Kalkulace a Porovnání'!H654</f>
        <v>0</v>
      </c>
      <c r="K654" s="12" t="s">
        <v>52</v>
      </c>
      <c r="L654" s="13" t="s">
        <v>57</v>
      </c>
      <c r="M654" s="3" t="s">
        <v>58</v>
      </c>
      <c r="N654" s="44">
        <f>'Kalkulace a Porovnání'!N654</f>
        <v>0</v>
      </c>
      <c r="O654" s="44">
        <f>'Kalkulace a Porovnání'!O654</f>
        <v>0</v>
      </c>
      <c r="P654" s="44">
        <f>'Kalkulace a Porovnání'!P654</f>
        <v>0</v>
      </c>
      <c r="Q654" s="30">
        <f>'Kalkulace a Porovnání'!Q654</f>
        <v>0</v>
      </c>
      <c r="T654" s="12" t="s">
        <v>52</v>
      </c>
      <c r="U654" s="13" t="s">
        <v>57</v>
      </c>
      <c r="V654" s="3" t="s">
        <v>58</v>
      </c>
      <c r="W654" s="44">
        <f>'Kalkulace a Porovnání'!W654</f>
        <v>0</v>
      </c>
      <c r="X654" s="44">
        <f>'Kalkulace a Porovnání'!X654</f>
        <v>0</v>
      </c>
      <c r="Y654" s="44">
        <f>'Kalkulace a Porovnání'!Y654</f>
        <v>0</v>
      </c>
      <c r="Z654" s="44">
        <f>'Kalkulace a Porovnání'!Z654</f>
        <v>0</v>
      </c>
      <c r="AA654" s="44">
        <f>'Kalkulace a Porovnání'!AA654</f>
        <v>0</v>
      </c>
      <c r="AB654" s="30">
        <f>'Kalkulace a Porovnání'!AB654</f>
        <v>0</v>
      </c>
      <c r="AC654" s="146"/>
      <c r="AD654" s="428"/>
      <c r="AG654" s="1119"/>
      <c r="AH654" s="1119"/>
      <c r="AI654" s="252"/>
      <c r="AJ654" s="252"/>
      <c r="AK654" s="428"/>
      <c r="AL654" s="146"/>
    </row>
    <row r="655" spans="2:38" x14ac:dyDescent="0.25">
      <c r="B655" s="12" t="s">
        <v>53</v>
      </c>
      <c r="C655" s="13" t="s">
        <v>60</v>
      </c>
      <c r="D655" s="3" t="s">
        <v>58</v>
      </c>
      <c r="E655" s="44">
        <f>'Kalkulace a Porovnání'!E655</f>
        <v>0</v>
      </c>
      <c r="F655" s="44">
        <f>'Kalkulace a Porovnání'!F655</f>
        <v>0</v>
      </c>
      <c r="G655" s="44">
        <f>'Kalkulace a Porovnání'!G655</f>
        <v>0</v>
      </c>
      <c r="H655" s="30">
        <f>'Kalkulace a Porovnání'!H655</f>
        <v>0</v>
      </c>
      <c r="K655" s="12" t="s">
        <v>53</v>
      </c>
      <c r="L655" s="13" t="s">
        <v>60</v>
      </c>
      <c r="M655" s="3" t="s">
        <v>58</v>
      </c>
      <c r="N655" s="44">
        <f>'Kalkulace a Porovnání'!N655</f>
        <v>0</v>
      </c>
      <c r="O655" s="44">
        <f>'Kalkulace a Porovnání'!O655</f>
        <v>0</v>
      </c>
      <c r="P655" s="44">
        <f>'Kalkulace a Porovnání'!P655</f>
        <v>0</v>
      </c>
      <c r="Q655" s="30">
        <f>'Kalkulace a Porovnání'!Q655</f>
        <v>0</v>
      </c>
      <c r="T655" s="12" t="s">
        <v>53</v>
      </c>
      <c r="U655" s="13" t="s">
        <v>60</v>
      </c>
      <c r="V655" s="3" t="s">
        <v>58</v>
      </c>
      <c r="W655" s="44">
        <f>'Kalkulace a Porovnání'!W655</f>
        <v>0</v>
      </c>
      <c r="X655" s="44">
        <f>'Kalkulace a Porovnání'!X655</f>
        <v>0</v>
      </c>
      <c r="Y655" s="44">
        <f>'Kalkulace a Porovnání'!Y655</f>
        <v>0</v>
      </c>
      <c r="Z655" s="44">
        <f>'Kalkulace a Porovnání'!Z655</f>
        <v>0</v>
      </c>
      <c r="AA655" s="44">
        <f>'Kalkulace a Porovnání'!AA655</f>
        <v>0</v>
      </c>
      <c r="AB655" s="30">
        <f>'Kalkulace a Porovnání'!AB655</f>
        <v>0</v>
      </c>
      <c r="AC655" s="146"/>
      <c r="AD655" s="428"/>
      <c r="AG655" s="147"/>
      <c r="AH655" s="147"/>
      <c r="AI655" s="252"/>
      <c r="AJ655" s="252"/>
      <c r="AK655" s="428"/>
      <c r="AL655" s="146"/>
    </row>
    <row r="656" spans="2:38" x14ac:dyDescent="0.25">
      <c r="B656" s="12" t="s">
        <v>56</v>
      </c>
      <c r="C656" s="13" t="s">
        <v>62</v>
      </c>
      <c r="D656" s="3" t="s">
        <v>58</v>
      </c>
      <c r="E656" s="44">
        <f>'Kalkulace a Porovnání'!E656</f>
        <v>0</v>
      </c>
      <c r="F656" s="44">
        <f>'Kalkulace a Porovnání'!F656</f>
        <v>0</v>
      </c>
      <c r="G656" s="44">
        <f>'Kalkulace a Porovnání'!G656</f>
        <v>0</v>
      </c>
      <c r="H656" s="30">
        <f>'Kalkulace a Porovnání'!H656</f>
        <v>0</v>
      </c>
      <c r="K656" s="12" t="s">
        <v>56</v>
      </c>
      <c r="L656" s="13" t="s">
        <v>62</v>
      </c>
      <c r="M656" s="3" t="s">
        <v>58</v>
      </c>
      <c r="N656" s="44">
        <f>'Kalkulace a Porovnání'!N656</f>
        <v>0</v>
      </c>
      <c r="O656" s="44">
        <f>'Kalkulace a Porovnání'!O656</f>
        <v>0</v>
      </c>
      <c r="P656" s="44">
        <f>'Kalkulace a Porovnání'!P656</f>
        <v>0</v>
      </c>
      <c r="Q656" s="30">
        <f>'Kalkulace a Porovnání'!Q656</f>
        <v>0</v>
      </c>
      <c r="T656" s="12" t="s">
        <v>56</v>
      </c>
      <c r="U656" s="13" t="s">
        <v>62</v>
      </c>
      <c r="V656" s="3" t="s">
        <v>58</v>
      </c>
      <c r="W656" s="44">
        <f>'Kalkulace a Porovnání'!W656</f>
        <v>0</v>
      </c>
      <c r="X656" s="44">
        <f>'Kalkulace a Porovnání'!X656</f>
        <v>0</v>
      </c>
      <c r="Y656" s="44">
        <f>'Kalkulace a Porovnání'!Y656</f>
        <v>0</v>
      </c>
      <c r="Z656" s="44">
        <f>'Kalkulace a Porovnání'!Z656</f>
        <v>0</v>
      </c>
      <c r="AA656" s="44">
        <f>'Kalkulace a Porovnání'!AA656</f>
        <v>0</v>
      </c>
      <c r="AB656" s="30">
        <f>'Kalkulace a Porovnání'!AB656</f>
        <v>0</v>
      </c>
      <c r="AC656" s="146"/>
      <c r="AD656" s="428"/>
      <c r="AG656" s="430"/>
      <c r="AH656" s="430"/>
      <c r="AI656" s="252"/>
      <c r="AJ656" s="252"/>
      <c r="AK656" s="428"/>
      <c r="AL656" s="146"/>
    </row>
    <row r="657" spans="2:38" x14ac:dyDescent="0.25">
      <c r="B657" s="12" t="s">
        <v>59</v>
      </c>
      <c r="C657" s="13" t="s">
        <v>60</v>
      </c>
      <c r="D657" s="3" t="s">
        <v>58</v>
      </c>
      <c r="E657" s="44">
        <f>'Kalkulace a Porovnání'!E657</f>
        <v>0</v>
      </c>
      <c r="F657" s="44">
        <f>'Kalkulace a Porovnání'!F657</f>
        <v>0</v>
      </c>
      <c r="G657" s="44">
        <f>'Kalkulace a Porovnání'!G657</f>
        <v>0</v>
      </c>
      <c r="H657" s="30">
        <f>'Kalkulace a Porovnání'!H657</f>
        <v>0</v>
      </c>
      <c r="K657" s="12" t="s">
        <v>59</v>
      </c>
      <c r="L657" s="13" t="s">
        <v>60</v>
      </c>
      <c r="M657" s="3" t="s">
        <v>58</v>
      </c>
      <c r="N657" s="44">
        <f>'Kalkulace a Porovnání'!N657</f>
        <v>0</v>
      </c>
      <c r="O657" s="44">
        <f>'Kalkulace a Porovnání'!O657</f>
        <v>0</v>
      </c>
      <c r="P657" s="44">
        <f>'Kalkulace a Porovnání'!P657</f>
        <v>0</v>
      </c>
      <c r="Q657" s="30">
        <f>'Kalkulace a Porovnání'!Q657</f>
        <v>0</v>
      </c>
      <c r="T657" s="12" t="s">
        <v>59</v>
      </c>
      <c r="U657" s="13" t="s">
        <v>60</v>
      </c>
      <c r="V657" s="3" t="s">
        <v>58</v>
      </c>
      <c r="W657" s="44">
        <f>'Kalkulace a Porovnání'!W657</f>
        <v>0</v>
      </c>
      <c r="X657" s="44">
        <f>'Kalkulace a Porovnání'!X657</f>
        <v>0</v>
      </c>
      <c r="Y657" s="44">
        <f>'Kalkulace a Porovnání'!Y657</f>
        <v>0</v>
      </c>
      <c r="Z657" s="44">
        <f>'Kalkulace a Porovnání'!Z657</f>
        <v>0</v>
      </c>
      <c r="AA657" s="44">
        <f>'Kalkulace a Porovnání'!AA657</f>
        <v>0</v>
      </c>
      <c r="AB657" s="30">
        <f>'Kalkulace a Porovnání'!AB657</f>
        <v>0</v>
      </c>
      <c r="AC657" s="146"/>
      <c r="AD657" s="428"/>
      <c r="AG657" s="427"/>
      <c r="AH657" s="427"/>
      <c r="AI657" s="252"/>
      <c r="AJ657" s="252"/>
      <c r="AK657" s="428"/>
      <c r="AL657" s="146"/>
    </row>
    <row r="658" spans="2:38" x14ac:dyDescent="0.25">
      <c r="B658" s="12" t="s">
        <v>61</v>
      </c>
      <c r="C658" s="13" t="s">
        <v>65</v>
      </c>
      <c r="D658" s="3" t="s">
        <v>58</v>
      </c>
      <c r="E658" s="44">
        <f>'Kalkulace a Porovnání'!E658</f>
        <v>0</v>
      </c>
      <c r="F658" s="44">
        <f>'Kalkulace a Porovnání'!F658</f>
        <v>0</v>
      </c>
      <c r="G658" s="44">
        <f>'Kalkulace a Porovnání'!G658</f>
        <v>0</v>
      </c>
      <c r="H658" s="30">
        <f>'Kalkulace a Porovnání'!H658</f>
        <v>0</v>
      </c>
      <c r="K658" s="12" t="s">
        <v>61</v>
      </c>
      <c r="L658" s="13" t="s">
        <v>65</v>
      </c>
      <c r="M658" s="3" t="s">
        <v>58</v>
      </c>
      <c r="N658" s="44">
        <f>'Kalkulace a Porovnání'!N658</f>
        <v>0</v>
      </c>
      <c r="O658" s="44">
        <f>'Kalkulace a Porovnání'!O658</f>
        <v>0</v>
      </c>
      <c r="P658" s="44">
        <f>'Kalkulace a Porovnání'!P658</f>
        <v>0</v>
      </c>
      <c r="Q658" s="30">
        <f>'Kalkulace a Porovnání'!Q658</f>
        <v>0</v>
      </c>
      <c r="T658" s="12" t="s">
        <v>61</v>
      </c>
      <c r="U658" s="13" t="s">
        <v>65</v>
      </c>
      <c r="V658" s="3" t="s">
        <v>58</v>
      </c>
      <c r="W658" s="44">
        <f>'Kalkulace a Porovnání'!W658</f>
        <v>0</v>
      </c>
      <c r="X658" s="44">
        <f>'Kalkulace a Porovnání'!X658</f>
        <v>0</v>
      </c>
      <c r="Y658" s="44">
        <f>'Kalkulace a Porovnání'!Y658</f>
        <v>0</v>
      </c>
      <c r="Z658" s="44">
        <f>'Kalkulace a Porovnání'!Z658</f>
        <v>0</v>
      </c>
      <c r="AA658" s="44">
        <f>'Kalkulace a Porovnání'!AA658</f>
        <v>0</v>
      </c>
      <c r="AB658" s="30">
        <f>'Kalkulace a Porovnání'!AB658</f>
        <v>0</v>
      </c>
      <c r="AC658" s="146"/>
      <c r="AD658" s="428"/>
      <c r="AG658" s="147"/>
      <c r="AH658" s="147"/>
      <c r="AI658" s="430"/>
      <c r="AJ658" s="430"/>
      <c r="AK658" s="428"/>
      <c r="AL658" s="146"/>
    </row>
    <row r="659" spans="2:38" x14ac:dyDescent="0.25">
      <c r="B659" s="12" t="s">
        <v>63</v>
      </c>
      <c r="C659" s="13" t="s">
        <v>67</v>
      </c>
      <c r="D659" s="3" t="s">
        <v>58</v>
      </c>
      <c r="E659" s="44">
        <f>'Kalkulace a Porovnání'!E659</f>
        <v>0</v>
      </c>
      <c r="F659" s="44">
        <f>'Kalkulace a Porovnání'!F659</f>
        <v>0</v>
      </c>
      <c r="G659" s="44">
        <f>'Kalkulace a Porovnání'!G659</f>
        <v>0</v>
      </c>
      <c r="H659" s="30">
        <f>'Kalkulace a Porovnání'!H659</f>
        <v>0</v>
      </c>
      <c r="K659" s="12" t="s">
        <v>63</v>
      </c>
      <c r="L659" s="13" t="s">
        <v>67</v>
      </c>
      <c r="M659" s="3" t="s">
        <v>58</v>
      </c>
      <c r="N659" s="44">
        <f>'Kalkulace a Porovnání'!N659</f>
        <v>0</v>
      </c>
      <c r="O659" s="44">
        <f>'Kalkulace a Porovnání'!O659</f>
        <v>0</v>
      </c>
      <c r="P659" s="44">
        <f>'Kalkulace a Porovnání'!P659</f>
        <v>0</v>
      </c>
      <c r="Q659" s="30">
        <f>'Kalkulace a Porovnání'!Q659</f>
        <v>0</v>
      </c>
      <c r="T659" s="12" t="s">
        <v>63</v>
      </c>
      <c r="U659" s="13" t="s">
        <v>67</v>
      </c>
      <c r="V659" s="3" t="s">
        <v>58</v>
      </c>
      <c r="W659" s="44">
        <f>'Kalkulace a Porovnání'!W659</f>
        <v>0</v>
      </c>
      <c r="X659" s="44">
        <f>'Kalkulace a Porovnání'!X659</f>
        <v>0</v>
      </c>
      <c r="Y659" s="44">
        <f>'Kalkulace a Porovnání'!Y659</f>
        <v>0</v>
      </c>
      <c r="Z659" s="44">
        <f>'Kalkulace a Porovnání'!Z659</f>
        <v>0</v>
      </c>
      <c r="AA659" s="44">
        <f>'Kalkulace a Porovnání'!AA659</f>
        <v>0</v>
      </c>
      <c r="AB659" s="30">
        <f>'Kalkulace a Porovnání'!AB659</f>
        <v>0</v>
      </c>
      <c r="AC659" s="146"/>
      <c r="AD659" s="428"/>
      <c r="AG659" s="147"/>
      <c r="AH659" s="147"/>
      <c r="AI659" s="430"/>
      <c r="AJ659" s="430"/>
      <c r="AK659" s="428"/>
      <c r="AL659" s="146"/>
    </row>
    <row r="660" spans="2:38" x14ac:dyDescent="0.25">
      <c r="B660" s="12" t="s">
        <v>64</v>
      </c>
      <c r="C660" s="13" t="s">
        <v>68</v>
      </c>
      <c r="D660" s="3" t="s">
        <v>58</v>
      </c>
      <c r="E660" s="44">
        <f>'Kalkulace a Porovnání'!E660</f>
        <v>0</v>
      </c>
      <c r="F660" s="44">
        <f>'Kalkulace a Porovnání'!F660</f>
        <v>0</v>
      </c>
      <c r="G660" s="44">
        <f>'Kalkulace a Porovnání'!G660</f>
        <v>0</v>
      </c>
      <c r="H660" s="30">
        <f>'Kalkulace a Porovnání'!H660</f>
        <v>0</v>
      </c>
      <c r="K660" s="12" t="s">
        <v>64</v>
      </c>
      <c r="L660" s="13" t="s">
        <v>68</v>
      </c>
      <c r="M660" s="3" t="s">
        <v>58</v>
      </c>
      <c r="N660" s="44">
        <f>'Kalkulace a Porovnání'!N660</f>
        <v>0</v>
      </c>
      <c r="O660" s="44">
        <f>'Kalkulace a Porovnání'!O660</f>
        <v>0</v>
      </c>
      <c r="P660" s="44">
        <f>'Kalkulace a Porovnání'!P660</f>
        <v>0</v>
      </c>
      <c r="Q660" s="30">
        <f>'Kalkulace a Porovnání'!Q660</f>
        <v>0</v>
      </c>
      <c r="T660" s="12" t="s">
        <v>64</v>
      </c>
      <c r="U660" s="13" t="s">
        <v>68</v>
      </c>
      <c r="V660" s="3" t="s">
        <v>58</v>
      </c>
      <c r="W660" s="44">
        <f>'Kalkulace a Porovnání'!W660</f>
        <v>0</v>
      </c>
      <c r="X660" s="44">
        <f>'Kalkulace a Porovnání'!X660</f>
        <v>0</v>
      </c>
      <c r="Y660" s="44">
        <f>'Kalkulace a Porovnání'!Y660</f>
        <v>0</v>
      </c>
      <c r="Z660" s="44">
        <f>'Kalkulace a Porovnání'!Z660</f>
        <v>0</v>
      </c>
      <c r="AA660" s="44">
        <f>'Kalkulace a Porovnání'!AA660</f>
        <v>0</v>
      </c>
      <c r="AB660" s="30">
        <f>'Kalkulace a Porovnání'!AB660</f>
        <v>0</v>
      </c>
      <c r="AC660" s="146"/>
      <c r="AD660" s="428"/>
      <c r="AG660" s="147"/>
      <c r="AH660" s="147"/>
      <c r="AI660" s="430"/>
      <c r="AJ660" s="430"/>
      <c r="AK660" s="428"/>
      <c r="AL660" s="146"/>
    </row>
    <row r="661" spans="2:38" x14ac:dyDescent="0.25">
      <c r="B661" s="12" t="s">
        <v>66</v>
      </c>
      <c r="C661" s="13" t="s">
        <v>69</v>
      </c>
      <c r="D661" s="3" t="s">
        <v>58</v>
      </c>
      <c r="E661" s="44">
        <f>'Kalkulace a Porovnání'!E661</f>
        <v>0</v>
      </c>
      <c r="F661" s="44">
        <f>'Kalkulace a Porovnání'!F661</f>
        <v>0</v>
      </c>
      <c r="G661" s="44">
        <f>'Kalkulace a Porovnání'!G661</f>
        <v>0</v>
      </c>
      <c r="H661" s="30">
        <f>'Kalkulace a Porovnání'!H661</f>
        <v>0</v>
      </c>
      <c r="K661" s="12" t="s">
        <v>66</v>
      </c>
      <c r="L661" s="13" t="s">
        <v>69</v>
      </c>
      <c r="M661" s="3" t="s">
        <v>58</v>
      </c>
      <c r="N661" s="44">
        <f>'Kalkulace a Porovnání'!N661</f>
        <v>0</v>
      </c>
      <c r="O661" s="44">
        <f>'Kalkulace a Porovnání'!O661</f>
        <v>0</v>
      </c>
      <c r="P661" s="44">
        <f>'Kalkulace a Porovnání'!P661</f>
        <v>0</v>
      </c>
      <c r="Q661" s="30">
        <f>'Kalkulace a Porovnání'!Q661</f>
        <v>0</v>
      </c>
      <c r="T661" s="12" t="s">
        <v>66</v>
      </c>
      <c r="U661" s="13" t="s">
        <v>69</v>
      </c>
      <c r="V661" s="3" t="s">
        <v>58</v>
      </c>
      <c r="W661" s="44">
        <f>'Kalkulace a Porovnání'!W661</f>
        <v>0</v>
      </c>
      <c r="X661" s="44">
        <f>'Kalkulace a Porovnání'!X661</f>
        <v>0</v>
      </c>
      <c r="Y661" s="44">
        <f>'Kalkulace a Porovnání'!Y661</f>
        <v>0</v>
      </c>
      <c r="Z661" s="44">
        <f>'Kalkulace a Porovnání'!Z661</f>
        <v>0</v>
      </c>
      <c r="AA661" s="44">
        <f>'Kalkulace a Porovnání'!AA661</f>
        <v>0</v>
      </c>
      <c r="AB661" s="30">
        <f>'Kalkulace a Porovnání'!AB661</f>
        <v>0</v>
      </c>
      <c r="AC661" s="146"/>
      <c r="AD661" s="428"/>
      <c r="AG661" s="314"/>
      <c r="AH661" s="314"/>
      <c r="AI661" s="252"/>
      <c r="AJ661" s="252"/>
      <c r="AK661" s="428"/>
      <c r="AL661" s="146"/>
    </row>
    <row r="662" spans="2:38" x14ac:dyDescent="0.25">
      <c r="B662" s="1"/>
      <c r="C662" s="1"/>
      <c r="D662" s="1"/>
      <c r="E662" s="1"/>
      <c r="F662" s="1"/>
      <c r="G662" s="1"/>
      <c r="H662" s="1"/>
      <c r="K662" s="1"/>
      <c r="L662" s="1"/>
      <c r="M662" s="1"/>
      <c r="N662" s="1"/>
      <c r="O662" s="1"/>
      <c r="P662" s="1"/>
      <c r="Q662" s="1"/>
      <c r="T662" s="1"/>
      <c r="U662" s="1"/>
      <c r="V662" s="1"/>
      <c r="W662" s="1"/>
      <c r="X662" s="1"/>
      <c r="Y662" s="1"/>
      <c r="Z662" s="1"/>
      <c r="AA662" s="1"/>
      <c r="AB662" s="1"/>
      <c r="AC662" s="146"/>
      <c r="AD662" s="428"/>
      <c r="AG662" s="428"/>
      <c r="AH662" s="428"/>
      <c r="AI662" s="428"/>
      <c r="AJ662" s="428"/>
      <c r="AK662" s="428"/>
      <c r="AL662" s="146"/>
    </row>
    <row r="663" spans="2:38" x14ac:dyDescent="0.25">
      <c r="B663" s="1052" t="s">
        <v>5</v>
      </c>
      <c r="C663" s="884" t="s">
        <v>70</v>
      </c>
      <c r="D663" s="868"/>
      <c r="E663" s="1082"/>
      <c r="F663" s="1083"/>
      <c r="G663" s="868"/>
      <c r="H663" s="869"/>
      <c r="K663" s="1052" t="s">
        <v>5</v>
      </c>
      <c r="L663" s="884" t="s">
        <v>70</v>
      </c>
      <c r="M663" s="868"/>
      <c r="N663" s="1082"/>
      <c r="O663" s="1083"/>
      <c r="P663" s="868"/>
      <c r="Q663" s="869"/>
      <c r="T663" s="1098" t="s">
        <v>5</v>
      </c>
      <c r="U663" s="884" t="s">
        <v>70</v>
      </c>
      <c r="V663" s="868"/>
      <c r="W663" s="1082"/>
      <c r="X663" s="1082"/>
      <c r="Y663" s="1083"/>
      <c r="Z663" s="868"/>
      <c r="AA663" s="868"/>
      <c r="AB663" s="869"/>
      <c r="AC663" s="146"/>
      <c r="AD663" s="428"/>
      <c r="AG663" s="428"/>
      <c r="AH663" s="428"/>
      <c r="AI663" s="428"/>
      <c r="AJ663" s="428"/>
      <c r="AK663" s="428"/>
      <c r="AL663" s="146"/>
    </row>
    <row r="664" spans="2:38" x14ac:dyDescent="0.25">
      <c r="B664" s="1053"/>
      <c r="C664" s="1052" t="s">
        <v>71</v>
      </c>
      <c r="D664" s="1065" t="s">
        <v>133</v>
      </c>
      <c r="E664" s="1085" t="s">
        <v>102</v>
      </c>
      <c r="F664" s="1086"/>
      <c r="G664" s="85" t="s">
        <v>3</v>
      </c>
      <c r="H664" s="23" t="s">
        <v>4</v>
      </c>
      <c r="K664" s="1053"/>
      <c r="L664" s="5" t="s">
        <v>71</v>
      </c>
      <c r="M664" s="1065" t="s">
        <v>133</v>
      </c>
      <c r="N664" s="1085" t="s">
        <v>102</v>
      </c>
      <c r="O664" s="1086"/>
      <c r="P664" s="85" t="s">
        <v>3</v>
      </c>
      <c r="Q664" s="23" t="s">
        <v>4</v>
      </c>
      <c r="T664" s="1099"/>
      <c r="U664" s="1052" t="s">
        <v>71</v>
      </c>
      <c r="V664" s="1065" t="s">
        <v>133</v>
      </c>
      <c r="W664" s="1085" t="s">
        <v>102</v>
      </c>
      <c r="X664" s="1086"/>
      <c r="Y664" s="1085" t="s">
        <v>3</v>
      </c>
      <c r="Z664" s="1101"/>
      <c r="AA664" s="1102" t="s">
        <v>4</v>
      </c>
      <c r="AB664" s="1102"/>
      <c r="AC664" s="146"/>
      <c r="AD664" s="428"/>
      <c r="AG664" s="428"/>
      <c r="AH664" s="428"/>
      <c r="AI664" s="428"/>
      <c r="AJ664" s="428"/>
      <c r="AK664" s="428"/>
      <c r="AL664" s="146"/>
    </row>
    <row r="665" spans="2:38" x14ac:dyDescent="0.25">
      <c r="B665" s="1054"/>
      <c r="C665" s="1054"/>
      <c r="D665" s="1084"/>
      <c r="E665" s="1087"/>
      <c r="F665" s="1088"/>
      <c r="G665" s="26" t="s">
        <v>7</v>
      </c>
      <c r="H665" s="24" t="s">
        <v>7</v>
      </c>
      <c r="K665" s="1054"/>
      <c r="L665" s="8"/>
      <c r="M665" s="1084"/>
      <c r="N665" s="1087"/>
      <c r="O665" s="1088"/>
      <c r="P665" s="26" t="s">
        <v>7</v>
      </c>
      <c r="Q665" s="24" t="s">
        <v>7</v>
      </c>
      <c r="T665" s="1100"/>
      <c r="U665" s="1054"/>
      <c r="V665" s="1084"/>
      <c r="W665" s="1087"/>
      <c r="X665" s="1088"/>
      <c r="Y665" s="37" t="s">
        <v>148</v>
      </c>
      <c r="Z665" s="37" t="s">
        <v>7</v>
      </c>
      <c r="AA665" s="37" t="s">
        <v>148</v>
      </c>
      <c r="AB665" s="37" t="s">
        <v>7</v>
      </c>
      <c r="AC665" s="146"/>
      <c r="AD665" s="428"/>
      <c r="AG665" s="428"/>
      <c r="AH665" s="428"/>
      <c r="AI665" s="428"/>
      <c r="AJ665" s="428"/>
      <c r="AK665" s="428"/>
      <c r="AL665" s="146"/>
    </row>
    <row r="666" spans="2:38" x14ac:dyDescent="0.25">
      <c r="B666" s="11">
        <v>1</v>
      </c>
      <c r="C666" s="11">
        <v>2</v>
      </c>
      <c r="D666" s="11" t="s">
        <v>95</v>
      </c>
      <c r="E666" s="873" t="s">
        <v>99</v>
      </c>
      <c r="F666" s="874"/>
      <c r="G666" s="11" t="s">
        <v>100</v>
      </c>
      <c r="H666" s="22" t="s">
        <v>101</v>
      </c>
      <c r="K666" s="11">
        <v>1</v>
      </c>
      <c r="L666" s="11">
        <v>2</v>
      </c>
      <c r="M666" s="11" t="s">
        <v>95</v>
      </c>
      <c r="N666" s="873" t="s">
        <v>99</v>
      </c>
      <c r="O666" s="874"/>
      <c r="P666" s="11" t="s">
        <v>100</v>
      </c>
      <c r="Q666" s="22" t="s">
        <v>101</v>
      </c>
      <c r="T666" s="11">
        <v>1</v>
      </c>
      <c r="U666" s="11">
        <v>2</v>
      </c>
      <c r="V666" s="11" t="s">
        <v>95</v>
      </c>
      <c r="W666" s="1096" t="s">
        <v>99</v>
      </c>
      <c r="X666" s="1097"/>
      <c r="Y666" s="11" t="s">
        <v>153</v>
      </c>
      <c r="Z666" s="11" t="s">
        <v>100</v>
      </c>
      <c r="AA666" s="11" t="s">
        <v>152</v>
      </c>
      <c r="AB666" s="22" t="s">
        <v>101</v>
      </c>
      <c r="AC666" s="146"/>
      <c r="AD666" s="428"/>
      <c r="AG666" s="428"/>
      <c r="AH666" s="428"/>
      <c r="AI666" s="428"/>
      <c r="AJ666" s="428"/>
      <c r="AK666" s="428"/>
      <c r="AL666" s="146"/>
    </row>
    <row r="667" spans="2:38" x14ac:dyDescent="0.25">
      <c r="B667" s="12" t="s">
        <v>72</v>
      </c>
      <c r="C667" s="13" t="s">
        <v>104</v>
      </c>
      <c r="D667" s="13" t="s">
        <v>73</v>
      </c>
      <c r="E667" s="875" t="s">
        <v>403</v>
      </c>
      <c r="F667" s="859"/>
      <c r="G667" s="138">
        <f>'Kalkulace a Porovnání'!G667</f>
        <v>0</v>
      </c>
      <c r="H667" s="138">
        <f>'Kalkulace a Porovnání'!H667</f>
        <v>0</v>
      </c>
      <c r="K667" s="12" t="s">
        <v>72</v>
      </c>
      <c r="L667" s="13" t="s">
        <v>104</v>
      </c>
      <c r="M667" s="13" t="s">
        <v>73</v>
      </c>
      <c r="N667" s="875" t="s">
        <v>403</v>
      </c>
      <c r="O667" s="859"/>
      <c r="P667" s="138">
        <f>'Kalkulace a Porovnání'!P667</f>
        <v>0</v>
      </c>
      <c r="Q667" s="138">
        <f>'Kalkulace a Porovnání'!Q667</f>
        <v>0</v>
      </c>
      <c r="T667" s="12" t="s">
        <v>72</v>
      </c>
      <c r="U667" s="13" t="s">
        <v>104</v>
      </c>
      <c r="V667" s="13" t="s">
        <v>73</v>
      </c>
      <c r="W667" s="875" t="s">
        <v>403</v>
      </c>
      <c r="X667" s="859"/>
      <c r="Y667" s="138">
        <f>'Kalkulace a Porovnání'!Y667</f>
        <v>0</v>
      </c>
      <c r="Z667" s="138">
        <f>'Kalkulace a Porovnání'!Z667</f>
        <v>0</v>
      </c>
      <c r="AA667" s="138">
        <f>'Kalkulace a Porovnání'!AA667</f>
        <v>0</v>
      </c>
      <c r="AB667" s="138">
        <f>'Kalkulace a Porovnání'!AB667</f>
        <v>0</v>
      </c>
      <c r="AC667" s="146"/>
      <c r="AD667" s="428"/>
      <c r="AG667" s="428"/>
      <c r="AH667" s="428"/>
      <c r="AI667" s="428"/>
      <c r="AJ667" s="428"/>
      <c r="AK667" s="428"/>
      <c r="AL667" s="146"/>
    </row>
    <row r="668" spans="2:38" x14ac:dyDescent="0.25">
      <c r="B668" s="12" t="s">
        <v>74</v>
      </c>
      <c r="C668" s="13" t="s">
        <v>358</v>
      </c>
      <c r="D668" s="13" t="s">
        <v>10</v>
      </c>
      <c r="E668" s="858" t="s">
        <v>404</v>
      </c>
      <c r="F668" s="870"/>
      <c r="G668" s="138">
        <f>G669+G670</f>
        <v>0</v>
      </c>
      <c r="H668" s="138">
        <f>H669+H670</f>
        <v>0</v>
      </c>
      <c r="K668" s="12" t="s">
        <v>74</v>
      </c>
      <c r="L668" s="13" t="s">
        <v>358</v>
      </c>
      <c r="M668" s="13" t="s">
        <v>10</v>
      </c>
      <c r="N668" s="858" t="s">
        <v>404</v>
      </c>
      <c r="O668" s="870"/>
      <c r="P668" s="138">
        <f>P669+P670</f>
        <v>0</v>
      </c>
      <c r="Q668" s="138">
        <f>Q669+Q670</f>
        <v>0</v>
      </c>
      <c r="T668" s="12" t="s">
        <v>74</v>
      </c>
      <c r="U668" s="13" t="s">
        <v>358</v>
      </c>
      <c r="V668" s="13" t="s">
        <v>10</v>
      </c>
      <c r="W668" s="858" t="s">
        <v>404</v>
      </c>
      <c r="X668" s="870"/>
      <c r="Y668" s="138">
        <f t="shared" ref="Y668:AB668" si="8">Y669+Y670</f>
        <v>0</v>
      </c>
      <c r="Z668" s="138">
        <f t="shared" si="8"/>
        <v>0</v>
      </c>
      <c r="AA668" s="138">
        <f t="shared" si="8"/>
        <v>0</v>
      </c>
      <c r="AB668" s="138">
        <f t="shared" si="8"/>
        <v>0</v>
      </c>
      <c r="AC668" s="146"/>
      <c r="AD668" s="428"/>
      <c r="AG668" s="428"/>
      <c r="AH668" s="428"/>
      <c r="AI668" s="428"/>
      <c r="AJ668" s="428"/>
      <c r="AK668" s="428"/>
      <c r="AL668" s="146"/>
    </row>
    <row r="669" spans="2:38" x14ac:dyDescent="0.25">
      <c r="B669" s="12" t="s">
        <v>352</v>
      </c>
      <c r="C669" s="13" t="s">
        <v>359</v>
      </c>
      <c r="D669" s="13" t="s">
        <v>10</v>
      </c>
      <c r="E669" s="871"/>
      <c r="F669" s="872"/>
      <c r="G669" s="138">
        <f>'Kalkulace a Porovnání'!G669</f>
        <v>0</v>
      </c>
      <c r="H669" s="138">
        <f>'Kalkulace a Porovnání'!H669</f>
        <v>0</v>
      </c>
      <c r="K669" s="12" t="s">
        <v>352</v>
      </c>
      <c r="L669" s="13" t="s">
        <v>359</v>
      </c>
      <c r="M669" s="13" t="s">
        <v>10</v>
      </c>
      <c r="N669" s="871"/>
      <c r="O669" s="872"/>
      <c r="P669" s="138">
        <f>'Kalkulace a Porovnání'!P669</f>
        <v>0</v>
      </c>
      <c r="Q669" s="138">
        <f>'Kalkulace a Porovnání'!Q669</f>
        <v>0</v>
      </c>
      <c r="T669" s="12" t="s">
        <v>352</v>
      </c>
      <c r="U669" s="13" t="s">
        <v>359</v>
      </c>
      <c r="V669" s="13" t="s">
        <v>10</v>
      </c>
      <c r="W669" s="871"/>
      <c r="X669" s="872"/>
      <c r="Y669" s="138">
        <f>'Kalkulace a Porovnání'!Y669</f>
        <v>0</v>
      </c>
      <c r="Z669" s="138">
        <f>'Kalkulace a Porovnání'!Z669</f>
        <v>0</v>
      </c>
      <c r="AA669" s="138">
        <f>'Kalkulace a Porovnání'!AA669</f>
        <v>0</v>
      </c>
      <c r="AB669" s="138">
        <f>'Kalkulace a Porovnání'!AB669</f>
        <v>0</v>
      </c>
      <c r="AC669" s="146"/>
      <c r="AD669" s="428"/>
      <c r="AG669" s="428"/>
      <c r="AH669" s="428"/>
      <c r="AI669" s="428"/>
      <c r="AJ669" s="428"/>
      <c r="AK669" s="428"/>
      <c r="AL669" s="146"/>
    </row>
    <row r="670" spans="2:38" x14ac:dyDescent="0.25">
      <c r="B670" s="12" t="s">
        <v>361</v>
      </c>
      <c r="C670" s="13" t="s">
        <v>360</v>
      </c>
      <c r="D670" s="13" t="s">
        <v>10</v>
      </c>
      <c r="E670" s="884"/>
      <c r="F670" s="869"/>
      <c r="G670" s="138">
        <f>'Kalkulace a Porovnání'!G670</f>
        <v>0</v>
      </c>
      <c r="H670" s="138">
        <f>'Kalkulace a Porovnání'!H670</f>
        <v>0</v>
      </c>
      <c r="K670" s="12" t="s">
        <v>361</v>
      </c>
      <c r="L670" s="13" t="s">
        <v>360</v>
      </c>
      <c r="M670" s="13" t="s">
        <v>10</v>
      </c>
      <c r="N670" s="884"/>
      <c r="O670" s="869"/>
      <c r="P670" s="138">
        <f>'Kalkulace a Porovnání'!P670</f>
        <v>0</v>
      </c>
      <c r="Q670" s="138">
        <f>'Kalkulace a Porovnání'!Q670</f>
        <v>0</v>
      </c>
      <c r="T670" s="12" t="s">
        <v>361</v>
      </c>
      <c r="U670" s="13" t="s">
        <v>360</v>
      </c>
      <c r="V670" s="13" t="s">
        <v>10</v>
      </c>
      <c r="W670" s="884"/>
      <c r="X670" s="869"/>
      <c r="Y670" s="138">
        <f>'Kalkulace a Porovnání'!Y670</f>
        <v>0</v>
      </c>
      <c r="Z670" s="138">
        <f>'Kalkulace a Porovnání'!Z670</f>
        <v>0</v>
      </c>
      <c r="AA670" s="138">
        <f>'Kalkulace a Porovnání'!AA670</f>
        <v>0</v>
      </c>
      <c r="AB670" s="138">
        <f>'Kalkulace a Porovnání'!AB670</f>
        <v>0</v>
      </c>
      <c r="AC670" s="146"/>
      <c r="AD670" s="428"/>
      <c r="AG670" s="428"/>
      <c r="AH670" s="428"/>
      <c r="AI670" s="428"/>
      <c r="AJ670" s="428"/>
      <c r="AK670" s="428"/>
      <c r="AL670" s="146"/>
    </row>
    <row r="671" spans="2:38" x14ac:dyDescent="0.25">
      <c r="B671" s="12" t="s">
        <v>75</v>
      </c>
      <c r="C671" s="13" t="s">
        <v>396</v>
      </c>
      <c r="D671" s="13" t="s">
        <v>10</v>
      </c>
      <c r="E671" s="858" t="s">
        <v>405</v>
      </c>
      <c r="F671" s="859"/>
      <c r="G671" s="341">
        <f>'Kalkulace a Porovnání'!G671</f>
        <v>0</v>
      </c>
      <c r="H671" s="341">
        <f>'Kalkulace a Porovnání'!H671</f>
        <v>0</v>
      </c>
      <c r="K671" s="12" t="s">
        <v>75</v>
      </c>
      <c r="L671" s="13" t="s">
        <v>396</v>
      </c>
      <c r="M671" s="13" t="s">
        <v>10</v>
      </c>
      <c r="N671" s="858" t="s">
        <v>405</v>
      </c>
      <c r="O671" s="859"/>
      <c r="P671" s="341">
        <f>'Kalkulace a Porovnání'!P671</f>
        <v>0</v>
      </c>
      <c r="Q671" s="341">
        <f>'Kalkulace a Porovnání'!Q671</f>
        <v>0</v>
      </c>
      <c r="T671" s="12" t="s">
        <v>75</v>
      </c>
      <c r="U671" s="13" t="s">
        <v>396</v>
      </c>
      <c r="V671" s="13" t="s">
        <v>10</v>
      </c>
      <c r="W671" s="858" t="s">
        <v>405</v>
      </c>
      <c r="X671" s="859"/>
      <c r="Y671" s="341">
        <f>'Kalkulace a Porovnání'!Y671</f>
        <v>0</v>
      </c>
      <c r="Z671" s="341">
        <f>'Kalkulace a Porovnání'!Z671</f>
        <v>0</v>
      </c>
      <c r="AA671" s="341">
        <f>'Kalkulace a Porovnání'!AA671</f>
        <v>0</v>
      </c>
      <c r="AB671" s="341">
        <f>'Kalkulace a Porovnání'!AB671</f>
        <v>0</v>
      </c>
      <c r="AC671" s="146"/>
      <c r="AD671" s="428"/>
      <c r="AG671" s="428"/>
      <c r="AH671" s="428"/>
      <c r="AI671" s="428"/>
      <c r="AJ671" s="428"/>
      <c r="AK671" s="428"/>
      <c r="AL671" s="146"/>
    </row>
    <row r="672" spans="2:38" x14ac:dyDescent="0.25">
      <c r="B672" s="12" t="s">
        <v>76</v>
      </c>
      <c r="C672" s="13" t="s">
        <v>373</v>
      </c>
      <c r="D672" s="13" t="s">
        <v>10</v>
      </c>
      <c r="E672" s="858"/>
      <c r="F672" s="859"/>
      <c r="G672" s="341">
        <f>'Kalkulace a Porovnání'!G672</f>
        <v>0</v>
      </c>
      <c r="H672" s="341">
        <f>'Kalkulace a Porovnání'!H672</f>
        <v>0</v>
      </c>
      <c r="K672" s="12" t="s">
        <v>76</v>
      </c>
      <c r="L672" s="13" t="s">
        <v>373</v>
      </c>
      <c r="M672" s="13" t="s">
        <v>10</v>
      </c>
      <c r="N672" s="858"/>
      <c r="O672" s="859"/>
      <c r="P672" s="341">
        <f>'Kalkulace a Porovnání'!P672</f>
        <v>2.3999896640999999E-2</v>
      </c>
      <c r="Q672" s="341">
        <f>'Kalkulace a Porovnání'!Q672</f>
        <v>0.100000278</v>
      </c>
      <c r="T672" s="12" t="s">
        <v>76</v>
      </c>
      <c r="U672" s="13" t="s">
        <v>373</v>
      </c>
      <c r="V672" s="13" t="s">
        <v>10</v>
      </c>
      <c r="W672" s="858"/>
      <c r="X672" s="859"/>
      <c r="Y672" s="341">
        <f>'Kalkulace a Porovnání'!Y672</f>
        <v>2.3999896640999999E-2</v>
      </c>
      <c r="Z672" s="341">
        <f>'Kalkulace a Porovnání'!Z672</f>
        <v>2.3999896640999999E-2</v>
      </c>
      <c r="AA672" s="341">
        <f>'Kalkulace a Porovnání'!AA672</f>
        <v>0.100000278</v>
      </c>
      <c r="AB672" s="341">
        <f>'Kalkulace a Porovnání'!AB672</f>
        <v>0.100000278</v>
      </c>
      <c r="AC672" s="146"/>
      <c r="AD672" s="428"/>
      <c r="AG672" s="428"/>
      <c r="AH672" s="428"/>
      <c r="AI672" s="428"/>
      <c r="AJ672" s="428"/>
      <c r="AK672" s="428"/>
      <c r="AL672" s="146"/>
    </row>
    <row r="673" spans="2:38" x14ac:dyDescent="0.25">
      <c r="B673" s="12" t="s">
        <v>78</v>
      </c>
      <c r="C673" s="21" t="s">
        <v>402</v>
      </c>
      <c r="D673" s="13" t="s">
        <v>77</v>
      </c>
      <c r="E673" s="875" t="s">
        <v>406</v>
      </c>
      <c r="F673" s="859"/>
      <c r="G673" s="138">
        <f>'Kalkulace a Porovnání'!G673</f>
        <v>0</v>
      </c>
      <c r="H673" s="138">
        <f>'Kalkulace a Porovnání'!H673</f>
        <v>0</v>
      </c>
      <c r="K673" s="12" t="s">
        <v>78</v>
      </c>
      <c r="L673" s="21" t="s">
        <v>402</v>
      </c>
      <c r="M673" s="13" t="s">
        <v>77</v>
      </c>
      <c r="N673" s="875" t="s">
        <v>406</v>
      </c>
      <c r="O673" s="859"/>
      <c r="P673" s="138">
        <f>'Kalkulace a Porovnání'!P673</f>
        <v>0</v>
      </c>
      <c r="Q673" s="138">
        <f>'Kalkulace a Porovnání'!Q673</f>
        <v>0</v>
      </c>
      <c r="T673" s="12" t="s">
        <v>78</v>
      </c>
      <c r="U673" s="21" t="s">
        <v>402</v>
      </c>
      <c r="V673" s="13" t="s">
        <v>77</v>
      </c>
      <c r="W673" s="875" t="s">
        <v>406</v>
      </c>
      <c r="X673" s="859"/>
      <c r="Y673" s="138">
        <f>'Kalkulace a Porovnání'!Y673</f>
        <v>0</v>
      </c>
      <c r="Z673" s="138">
        <f>'Kalkulace a Porovnání'!Z673</f>
        <v>0</v>
      </c>
      <c r="AA673" s="138">
        <f>'Kalkulace a Porovnání'!AA673</f>
        <v>0</v>
      </c>
      <c r="AB673" s="138">
        <f>'Kalkulace a Porovnání'!AB673</f>
        <v>0</v>
      </c>
      <c r="AC673" s="146"/>
      <c r="AD673" s="428"/>
      <c r="AG673" s="428"/>
      <c r="AH673" s="428"/>
      <c r="AI673" s="428"/>
      <c r="AJ673" s="428"/>
      <c r="AK673" s="428"/>
      <c r="AL673" s="146"/>
    </row>
    <row r="674" spans="2:38" x14ac:dyDescent="0.25">
      <c r="B674" s="12" t="s">
        <v>79</v>
      </c>
      <c r="C674" s="21" t="s">
        <v>408</v>
      </c>
      <c r="D674" s="13" t="s">
        <v>10</v>
      </c>
      <c r="E674" s="858" t="s">
        <v>407</v>
      </c>
      <c r="F674" s="859"/>
      <c r="G674" s="341">
        <f>'Kalkulace a Porovnání'!G674</f>
        <v>0</v>
      </c>
      <c r="H674" s="341">
        <f>'Kalkulace a Porovnání'!H674</f>
        <v>0</v>
      </c>
      <c r="K674" s="12" t="s">
        <v>79</v>
      </c>
      <c r="L674" s="21" t="s">
        <v>408</v>
      </c>
      <c r="M674" s="13" t="s">
        <v>10</v>
      </c>
      <c r="N674" s="858" t="s">
        <v>407</v>
      </c>
      <c r="O674" s="859"/>
      <c r="P674" s="341">
        <f>'Kalkulace a Porovnání'!P674</f>
        <v>0</v>
      </c>
      <c r="Q674" s="341">
        <f>'Kalkulace a Porovnání'!Q674</f>
        <v>0</v>
      </c>
      <c r="T674" s="12" t="s">
        <v>79</v>
      </c>
      <c r="U674" s="21" t="s">
        <v>408</v>
      </c>
      <c r="V674" s="13" t="s">
        <v>10</v>
      </c>
      <c r="W674" s="858" t="s">
        <v>407</v>
      </c>
      <c r="X674" s="859"/>
      <c r="Y674" s="341">
        <f>'Kalkulace a Porovnání'!Y674</f>
        <v>0</v>
      </c>
      <c r="Z674" s="341">
        <f>'Kalkulace a Porovnání'!Z674</f>
        <v>0</v>
      </c>
      <c r="AA674" s="341">
        <f>'Kalkulace a Porovnání'!AA674</f>
        <v>0</v>
      </c>
      <c r="AB674" s="341">
        <f>'Kalkulace a Porovnání'!AB674</f>
        <v>0</v>
      </c>
      <c r="AC674" s="146"/>
      <c r="AD674" s="428"/>
      <c r="AG674" s="428"/>
      <c r="AH674" s="428"/>
      <c r="AI674" s="428"/>
      <c r="AJ674" s="428"/>
      <c r="AK674" s="428"/>
      <c r="AL674" s="146"/>
    </row>
    <row r="675" spans="2:38" x14ac:dyDescent="0.25">
      <c r="B675" s="12" t="s">
        <v>80</v>
      </c>
      <c r="C675" s="21" t="s">
        <v>354</v>
      </c>
      <c r="D675" s="13" t="s">
        <v>10</v>
      </c>
      <c r="E675" s="858" t="s">
        <v>409</v>
      </c>
      <c r="F675" s="870"/>
      <c r="G675" s="341">
        <f>'Kalkulace a Porovnání'!G675</f>
        <v>0</v>
      </c>
      <c r="H675" s="341">
        <f>'Kalkulace a Porovnání'!H675</f>
        <v>0</v>
      </c>
      <c r="K675" s="12" t="s">
        <v>80</v>
      </c>
      <c r="L675" s="21" t="s">
        <v>354</v>
      </c>
      <c r="M675" s="13" t="s">
        <v>10</v>
      </c>
      <c r="N675" s="858" t="s">
        <v>409</v>
      </c>
      <c r="O675" s="870"/>
      <c r="P675" s="341">
        <f>'Kalkulace a Porovnání'!P675</f>
        <v>2.3999896640999999E-2</v>
      </c>
      <c r="Q675" s="341">
        <f>'Kalkulace a Porovnání'!Q675</f>
        <v>0.100000278</v>
      </c>
      <c r="T675" s="12" t="s">
        <v>80</v>
      </c>
      <c r="U675" s="21" t="s">
        <v>354</v>
      </c>
      <c r="V675" s="13" t="s">
        <v>10</v>
      </c>
      <c r="W675" s="858" t="s">
        <v>409</v>
      </c>
      <c r="X675" s="870"/>
      <c r="Y675" s="341">
        <f>'Kalkulace a Porovnání'!Y675</f>
        <v>2.3999896640999999E-2</v>
      </c>
      <c r="Z675" s="341">
        <f>'Kalkulace a Porovnání'!Z675</f>
        <v>2.3999896640999999E-2</v>
      </c>
      <c r="AA675" s="341">
        <f>'Kalkulace a Porovnání'!AA675</f>
        <v>0.100000278</v>
      </c>
      <c r="AB675" s="341">
        <f>'Kalkulace a Porovnání'!AB675</f>
        <v>0.100000278</v>
      </c>
      <c r="AC675" s="146"/>
      <c r="AD675" s="428"/>
      <c r="AG675" s="428"/>
      <c r="AH675" s="428"/>
      <c r="AI675" s="428"/>
      <c r="AJ675" s="428"/>
      <c r="AK675" s="428"/>
      <c r="AL675" s="146"/>
    </row>
    <row r="676" spans="2:38" x14ac:dyDescent="0.25">
      <c r="B676" s="12" t="s">
        <v>82</v>
      </c>
      <c r="C676" s="13" t="s">
        <v>395</v>
      </c>
      <c r="D676" s="13" t="s">
        <v>10</v>
      </c>
      <c r="E676" s="858" t="s">
        <v>410</v>
      </c>
      <c r="F676" s="859"/>
      <c r="G676" s="341">
        <f>'Kalkulace a Porovnání'!G676</f>
        <v>0</v>
      </c>
      <c r="H676" s="341">
        <f>'Kalkulace a Porovnání'!H676</f>
        <v>0</v>
      </c>
      <c r="K676" s="12" t="s">
        <v>82</v>
      </c>
      <c r="L676" s="13" t="s">
        <v>395</v>
      </c>
      <c r="M676" s="13" t="s">
        <v>10</v>
      </c>
      <c r="N676" s="858" t="s">
        <v>410</v>
      </c>
      <c r="O676" s="859"/>
      <c r="P676" s="341">
        <f>'Kalkulace a Porovnání'!P676</f>
        <v>2.3999896640999999E-2</v>
      </c>
      <c r="Q676" s="341">
        <f>'Kalkulace a Porovnání'!Q676</f>
        <v>0.100000278</v>
      </c>
      <c r="T676" s="12" t="s">
        <v>82</v>
      </c>
      <c r="U676" s="13" t="s">
        <v>395</v>
      </c>
      <c r="V676" s="13" t="s">
        <v>10</v>
      </c>
      <c r="W676" s="858" t="s">
        <v>410</v>
      </c>
      <c r="X676" s="859"/>
      <c r="Y676" s="341">
        <f>'Kalkulace a Porovnání'!Y676</f>
        <v>2.3999896640999999E-2</v>
      </c>
      <c r="Z676" s="341">
        <f>'Kalkulace a Porovnání'!Z676</f>
        <v>2.3999896640999999E-2</v>
      </c>
      <c r="AA676" s="341">
        <f>'Kalkulace a Porovnání'!AA676</f>
        <v>0.100000278</v>
      </c>
      <c r="AB676" s="341">
        <f>'Kalkulace a Porovnání'!AB676</f>
        <v>0.100000278</v>
      </c>
      <c r="AC676" s="146"/>
      <c r="AD676" s="428"/>
      <c r="AG676" s="428"/>
      <c r="AH676" s="428"/>
      <c r="AI676" s="428"/>
      <c r="AJ676" s="428"/>
      <c r="AK676" s="428"/>
      <c r="AL676" s="146"/>
    </row>
    <row r="677" spans="2:38" x14ac:dyDescent="0.25">
      <c r="B677" s="12" t="s">
        <v>83</v>
      </c>
      <c r="C677" s="13" t="s">
        <v>81</v>
      </c>
      <c r="D677" s="13" t="s">
        <v>58</v>
      </c>
      <c r="E677" s="858" t="s">
        <v>411</v>
      </c>
      <c r="F677" s="859"/>
      <c r="G677" s="341">
        <f>'Kalkulace a Porovnání'!G677</f>
        <v>0</v>
      </c>
      <c r="H677" s="341">
        <f>'Kalkulace a Porovnání'!H677</f>
        <v>0</v>
      </c>
      <c r="K677" s="12" t="s">
        <v>83</v>
      </c>
      <c r="L677" s="13" t="s">
        <v>81</v>
      </c>
      <c r="M677" s="13" t="s">
        <v>58</v>
      </c>
      <c r="N677" s="858" t="s">
        <v>411</v>
      </c>
      <c r="O677" s="859"/>
      <c r="P677" s="341">
        <f>'Kalkulace a Porovnání'!P677</f>
        <v>0</v>
      </c>
      <c r="Q677" s="341">
        <f>'Kalkulace a Porovnání'!Q677</f>
        <v>0</v>
      </c>
      <c r="T677" s="12" t="s">
        <v>83</v>
      </c>
      <c r="U677" s="13" t="s">
        <v>81</v>
      </c>
      <c r="V677" s="13" t="s">
        <v>58</v>
      </c>
      <c r="W677" s="858" t="s">
        <v>411</v>
      </c>
      <c r="X677" s="859"/>
      <c r="Y677" s="341">
        <f>'Kalkulace a Porovnání'!Y677</f>
        <v>0</v>
      </c>
      <c r="Z677" s="341">
        <f>'Kalkulace a Porovnání'!Z677</f>
        <v>0</v>
      </c>
      <c r="AA677" s="341">
        <f>'Kalkulace a Porovnání'!AA677</f>
        <v>0</v>
      </c>
      <c r="AB677" s="341">
        <f>'Kalkulace a Porovnání'!AB677</f>
        <v>0</v>
      </c>
      <c r="AC677" s="146"/>
      <c r="AD677" s="428"/>
      <c r="AG677" s="428"/>
      <c r="AH677" s="428"/>
      <c r="AI677" s="428"/>
      <c r="AJ677" s="428"/>
      <c r="AK677" s="428"/>
      <c r="AL677" s="146"/>
    </row>
    <row r="678" spans="2:38" x14ac:dyDescent="0.25">
      <c r="B678" s="12" t="s">
        <v>155</v>
      </c>
      <c r="C678" s="13" t="s">
        <v>393</v>
      </c>
      <c r="D678" s="13" t="s">
        <v>73</v>
      </c>
      <c r="E678" s="854" t="s">
        <v>412</v>
      </c>
      <c r="F678" s="855"/>
      <c r="G678" s="138">
        <f>'Kalkulace a Porovnání'!G678</f>
        <v>0</v>
      </c>
      <c r="H678" s="138">
        <f>'Kalkulace a Porovnání'!H678</f>
        <v>0</v>
      </c>
      <c r="K678" s="12" t="s">
        <v>155</v>
      </c>
      <c r="L678" s="13" t="s">
        <v>393</v>
      </c>
      <c r="M678" s="13" t="s">
        <v>73</v>
      </c>
      <c r="N678" s="854" t="s">
        <v>412</v>
      </c>
      <c r="O678" s="855"/>
      <c r="P678" s="138">
        <f>'Kalkulace a Porovnání'!P678</f>
        <v>0</v>
      </c>
      <c r="Q678" s="138">
        <f>'Kalkulace a Porovnání'!Q678</f>
        <v>0</v>
      </c>
      <c r="T678" s="12" t="s">
        <v>155</v>
      </c>
      <c r="U678" s="13" t="s">
        <v>393</v>
      </c>
      <c r="V678" s="13" t="s">
        <v>73</v>
      </c>
      <c r="W678" s="854" t="s">
        <v>412</v>
      </c>
      <c r="X678" s="855"/>
      <c r="Y678" s="138">
        <f>'Kalkulace a Porovnání'!Y678</f>
        <v>0</v>
      </c>
      <c r="Z678" s="138">
        <f>'Kalkulace a Porovnání'!Z678</f>
        <v>0</v>
      </c>
      <c r="AA678" s="138">
        <f>'Kalkulace a Porovnání'!AA678</f>
        <v>0</v>
      </c>
      <c r="AB678" s="138">
        <f>'Kalkulace a Porovnání'!AB678</f>
        <v>0</v>
      </c>
      <c r="AC678" s="146"/>
      <c r="AD678" s="428"/>
      <c r="AG678" s="428"/>
      <c r="AH678" s="428"/>
      <c r="AI678" s="428"/>
      <c r="AJ678" s="428"/>
      <c r="AK678" s="428"/>
      <c r="AL678" s="146"/>
    </row>
    <row r="679" spans="2:38" x14ac:dyDescent="0.25">
      <c r="B679" s="12" t="s">
        <v>355</v>
      </c>
      <c r="C679" s="13" t="str">
        <f>CONCATENATE("UPLATŇOVANÁ CENA pro vodné, stočné + ",Provozování!E659*100,"% DPH")</f>
        <v>UPLATŇOVANÁ CENA pro vodné, stočné + 0% DPH</v>
      </c>
      <c r="D679" s="13" t="s">
        <v>73</v>
      </c>
      <c r="E679" s="854" t="s">
        <v>413</v>
      </c>
      <c r="F679" s="855"/>
      <c r="G679" s="138">
        <f>'Kalkulace a Porovnání'!G679</f>
        <v>0</v>
      </c>
      <c r="H679" s="138">
        <f>'Kalkulace a Porovnání'!H679</f>
        <v>0</v>
      </c>
      <c r="K679" s="12" t="s">
        <v>355</v>
      </c>
      <c r="L679" s="13" t="str">
        <f>C679</f>
        <v>UPLATŇOVANÁ CENA pro vodné, stočné + 0% DPH</v>
      </c>
      <c r="M679" s="13" t="s">
        <v>73</v>
      </c>
      <c r="N679" s="854" t="s">
        <v>413</v>
      </c>
      <c r="O679" s="855"/>
      <c r="P679" s="138">
        <f>'Kalkulace a Porovnání'!P679</f>
        <v>0</v>
      </c>
      <c r="Q679" s="138">
        <f>'Kalkulace a Porovnání'!Q679</f>
        <v>0</v>
      </c>
      <c r="T679" s="12" t="s">
        <v>355</v>
      </c>
      <c r="U679" s="13" t="str">
        <f>C679</f>
        <v>UPLATŇOVANÁ CENA pro vodné, stočné + 0% DPH</v>
      </c>
      <c r="V679" s="13" t="s">
        <v>73</v>
      </c>
      <c r="W679" s="854" t="s">
        <v>413</v>
      </c>
      <c r="X679" s="855"/>
      <c r="Y679" s="138">
        <f>'Kalkulace a Porovnání'!Y679</f>
        <v>0</v>
      </c>
      <c r="Z679" s="138">
        <f>'Kalkulace a Porovnání'!Z679</f>
        <v>0</v>
      </c>
      <c r="AA679" s="138">
        <f>'Kalkulace a Porovnání'!AA679</f>
        <v>0</v>
      </c>
      <c r="AB679" s="138">
        <f>'Kalkulace a Porovnání'!AB679</f>
        <v>0</v>
      </c>
      <c r="AC679" s="146"/>
      <c r="AD679" s="428"/>
      <c r="AG679" s="428"/>
      <c r="AH679" s="428"/>
      <c r="AI679" s="428"/>
      <c r="AJ679" s="428"/>
      <c r="AK679" s="428"/>
      <c r="AL679" s="146"/>
    </row>
    <row r="680" spans="2:38" x14ac:dyDescent="0.25">
      <c r="B680" s="210" t="s">
        <v>356</v>
      </c>
      <c r="C680" s="244" t="s">
        <v>357</v>
      </c>
      <c r="D680" s="244"/>
      <c r="E680" s="884" t="s">
        <v>414</v>
      </c>
      <c r="F680" s="869"/>
      <c r="G680" s="138">
        <f>'Kalkulace a Porovnání'!G680</f>
        <v>0</v>
      </c>
      <c r="H680" s="138">
        <f>'Kalkulace a Porovnání'!H680</f>
        <v>0</v>
      </c>
      <c r="K680" s="210" t="s">
        <v>356</v>
      </c>
      <c r="L680" s="244" t="s">
        <v>357</v>
      </c>
      <c r="M680" s="244"/>
      <c r="N680" s="884" t="s">
        <v>414</v>
      </c>
      <c r="O680" s="869"/>
      <c r="P680" s="138">
        <f>'Kalkulace a Porovnání'!P680</f>
        <v>0</v>
      </c>
      <c r="Q680" s="138">
        <f>'Kalkulace a Porovnání'!Q680</f>
        <v>0</v>
      </c>
      <c r="T680" s="12" t="s">
        <v>356</v>
      </c>
      <c r="U680" s="13" t="s">
        <v>357</v>
      </c>
      <c r="V680" s="13"/>
      <c r="W680" s="884" t="s">
        <v>414</v>
      </c>
      <c r="X680" s="869"/>
      <c r="Y680" s="530">
        <f>'Kalkulace a Porovnání'!Y680</f>
        <v>0</v>
      </c>
      <c r="Z680" s="530">
        <f>'Kalkulace a Porovnání'!Z680</f>
        <v>0</v>
      </c>
      <c r="AA680" s="530">
        <f>'Kalkulace a Porovnání'!AA680</f>
        <v>0</v>
      </c>
      <c r="AB680" s="530">
        <f>'Kalkulace a Porovnání'!AB680</f>
        <v>0</v>
      </c>
      <c r="AC680" s="146"/>
      <c r="AD680" s="428"/>
      <c r="AG680" s="428"/>
      <c r="AH680" s="428"/>
      <c r="AI680" s="428"/>
      <c r="AJ680" s="428"/>
      <c r="AK680" s="428"/>
      <c r="AL680" s="146"/>
    </row>
    <row r="681" spans="2:38" x14ac:dyDescent="0.25">
      <c r="B681" s="29"/>
      <c r="C681" s="29"/>
      <c r="D681" s="29"/>
      <c r="E681" s="29"/>
      <c r="F681" s="29"/>
      <c r="G681" s="29"/>
      <c r="H681" s="29"/>
      <c r="I681" s="29"/>
      <c r="J681" s="29"/>
      <c r="K681" s="29"/>
      <c r="L681" s="29"/>
      <c r="M681" s="29"/>
      <c r="N681" s="29"/>
      <c r="O681" s="29"/>
      <c r="P681" s="29"/>
      <c r="Q681" s="29"/>
      <c r="R681" s="29"/>
      <c r="T681" s="1121" t="s">
        <v>364</v>
      </c>
      <c r="U681" s="1121" t="s">
        <v>154</v>
      </c>
      <c r="V681" s="1122" t="s">
        <v>10</v>
      </c>
      <c r="W681" s="854" t="s">
        <v>156</v>
      </c>
      <c r="X681" s="858"/>
      <c r="Y681" s="89" t="s">
        <v>158</v>
      </c>
      <c r="Z681" s="92" t="s">
        <v>159</v>
      </c>
      <c r="AA681" s="89" t="s">
        <v>158</v>
      </c>
      <c r="AB681" s="92" t="s">
        <v>159</v>
      </c>
      <c r="AC681" s="146"/>
      <c r="AD681" s="428"/>
      <c r="AG681" s="428"/>
      <c r="AH681" s="428"/>
      <c r="AI681" s="428"/>
      <c r="AJ681" s="428"/>
      <c r="AK681" s="428"/>
      <c r="AL681" s="146"/>
    </row>
    <row r="682" spans="2:38" x14ac:dyDescent="0.25">
      <c r="B682" s="383"/>
      <c r="C682" s="382"/>
      <c r="D682" s="382"/>
      <c r="E682" s="382"/>
      <c r="F682" s="382"/>
      <c r="G682" s="29"/>
      <c r="H682" s="29"/>
      <c r="I682" s="29"/>
      <c r="J682" s="29"/>
      <c r="K682" s="29"/>
      <c r="L682" s="29"/>
      <c r="M682" s="29"/>
      <c r="N682" s="29"/>
      <c r="O682" s="29"/>
      <c r="P682" s="29"/>
      <c r="Q682" s="29"/>
      <c r="R682" s="29"/>
      <c r="T682" s="1121"/>
      <c r="U682" s="1121"/>
      <c r="V682" s="1122"/>
      <c r="W682" s="1123">
        <f>'Kalkulace a Porovnání'!W682</f>
        <v>0</v>
      </c>
      <c r="X682" s="1124"/>
      <c r="Y682" s="90">
        <f>'Kalkulace a Porovnání'!Y682</f>
        <v>2032</v>
      </c>
      <c r="Z682" s="90">
        <f>'Kalkulace a Porovnání'!Z682</f>
        <v>2032</v>
      </c>
      <c r="AA682" s="90">
        <f>'Kalkulace a Porovnání'!AA682</f>
        <v>2032</v>
      </c>
      <c r="AB682" s="90">
        <f>'Kalkulace a Porovnání'!AB682</f>
        <v>2032</v>
      </c>
      <c r="AC682" s="146"/>
      <c r="AD682" s="428"/>
      <c r="AG682" s="428"/>
      <c r="AH682" s="428"/>
      <c r="AI682" s="428"/>
      <c r="AJ682" s="428"/>
      <c r="AK682" s="428"/>
      <c r="AL682" s="146"/>
    </row>
    <row r="683" spans="2:38" x14ac:dyDescent="0.25">
      <c r="B683" s="383"/>
      <c r="C683" s="382"/>
      <c r="D683" s="382"/>
      <c r="E683" s="382"/>
      <c r="F683" s="382"/>
      <c r="G683" s="29"/>
      <c r="H683" s="29"/>
      <c r="I683" s="29"/>
      <c r="J683" s="29"/>
      <c r="K683" s="29"/>
      <c r="L683" s="29"/>
      <c r="M683" s="29"/>
      <c r="N683" s="29"/>
      <c r="O683" s="29"/>
      <c r="P683" s="29"/>
      <c r="Q683" s="29"/>
      <c r="R683" s="29"/>
      <c r="T683" s="1121"/>
      <c r="U683" s="1121"/>
      <c r="V683" s="1122"/>
      <c r="W683" s="854" t="s">
        <v>157</v>
      </c>
      <c r="X683" s="858"/>
      <c r="Y683" s="91" t="s">
        <v>160</v>
      </c>
      <c r="Z683" s="91" t="s">
        <v>160</v>
      </c>
      <c r="AA683" s="91" t="s">
        <v>161</v>
      </c>
      <c r="AB683" s="91" t="s">
        <v>161</v>
      </c>
      <c r="AC683" s="146"/>
      <c r="AD683" s="428"/>
      <c r="AG683" s="428"/>
      <c r="AH683" s="428"/>
      <c r="AI683" s="428"/>
      <c r="AJ683" s="428"/>
      <c r="AK683" s="428"/>
      <c r="AL683" s="146"/>
    </row>
    <row r="684" spans="2:38" x14ac:dyDescent="0.25">
      <c r="B684" s="382"/>
      <c r="C684" s="382"/>
      <c r="D684" s="382"/>
      <c r="E684" s="382"/>
      <c r="F684" s="382"/>
      <c r="G684" s="29"/>
      <c r="H684" s="29"/>
      <c r="I684" s="29"/>
      <c r="J684" s="29"/>
      <c r="K684" s="29"/>
      <c r="L684" s="29"/>
      <c r="M684" s="29"/>
      <c r="N684" s="29"/>
      <c r="O684" s="29"/>
      <c r="P684" s="29"/>
      <c r="Q684" s="29"/>
      <c r="R684" s="29"/>
      <c r="T684" s="1121"/>
      <c r="U684" s="1121"/>
      <c r="V684" s="1122"/>
      <c r="W684" s="1125">
        <f>'Kalkulace a Porovnání'!W684</f>
        <v>0</v>
      </c>
      <c r="X684" s="1125"/>
      <c r="Y684" s="341">
        <f>'Kalkulace a Porovnání'!Y684</f>
        <v>0</v>
      </c>
      <c r="Z684" s="341">
        <f>'Kalkulace a Porovnání'!Z684</f>
        <v>0</v>
      </c>
      <c r="AA684" s="341">
        <f>'Kalkulace a Porovnání'!AA684</f>
        <v>0</v>
      </c>
      <c r="AB684" s="341">
        <f>'Kalkulace a Porovnání'!AB684</f>
        <v>0</v>
      </c>
      <c r="AC684" s="146"/>
      <c r="AD684" s="428"/>
      <c r="AG684" s="428"/>
      <c r="AH684" s="428"/>
      <c r="AI684" s="428"/>
      <c r="AJ684" s="428"/>
      <c r="AK684" s="428"/>
      <c r="AL684" s="146"/>
    </row>
    <row r="685" spans="2:38" x14ac:dyDescent="0.25">
      <c r="B685" s="29"/>
      <c r="AC685" s="146"/>
      <c r="AD685" s="428"/>
      <c r="AG685" s="428"/>
      <c r="AH685" s="428"/>
      <c r="AI685" s="428"/>
      <c r="AJ685" s="428"/>
      <c r="AK685" s="428"/>
      <c r="AL685" s="146"/>
    </row>
    <row r="686" spans="2:38" x14ac:dyDescent="0.25">
      <c r="B686" s="899" t="s">
        <v>316</v>
      </c>
      <c r="C686" s="900"/>
      <c r="D686" s="900"/>
      <c r="E686" s="900"/>
      <c r="F686" s="900"/>
      <c r="G686" s="900"/>
      <c r="H686" s="900"/>
      <c r="K686" s="899" t="s">
        <v>317</v>
      </c>
      <c r="L686" s="900"/>
      <c r="M686" s="900"/>
      <c r="N686" s="900"/>
      <c r="O686" s="900"/>
      <c r="P686" s="900"/>
      <c r="Q686" s="900"/>
      <c r="T686" s="899" t="s">
        <v>162</v>
      </c>
      <c r="U686" s="900"/>
      <c r="V686" s="900"/>
      <c r="W686" s="900"/>
      <c r="X686" s="900"/>
      <c r="Y686" s="900"/>
      <c r="Z686" s="900"/>
      <c r="AA686" s="900"/>
      <c r="AB686" s="900"/>
      <c r="AC686" s="146"/>
      <c r="AD686" s="428"/>
      <c r="AG686" s="428"/>
      <c r="AH686" s="428"/>
      <c r="AI686" s="428"/>
      <c r="AJ686" s="428"/>
      <c r="AK686" s="428"/>
      <c r="AL686" s="146"/>
    </row>
    <row r="687" spans="2:38" x14ac:dyDescent="0.25">
      <c r="C687" s="272"/>
      <c r="E687" s="25"/>
      <c r="F687" s="25"/>
      <c r="L687" s="25"/>
      <c r="N687" s="25"/>
      <c r="T687" s="1079" t="s">
        <v>318</v>
      </c>
      <c r="U687" s="1079"/>
      <c r="V687" s="1079"/>
      <c r="W687" s="1079"/>
      <c r="X687" s="1079"/>
      <c r="Y687" s="1079"/>
      <c r="Z687" s="1079"/>
      <c r="AA687" s="1079"/>
      <c r="AB687" s="1079"/>
      <c r="AC687" s="146"/>
      <c r="AD687" s="428"/>
      <c r="AG687" s="428"/>
      <c r="AH687" s="428"/>
      <c r="AI687" s="428"/>
      <c r="AJ687" s="428"/>
      <c r="AK687" s="428"/>
      <c r="AL687" s="146"/>
    </row>
    <row r="688" spans="2:38" x14ac:dyDescent="0.25">
      <c r="C688" s="272" t="s">
        <v>103</v>
      </c>
      <c r="D688" s="274">
        <f>'Kalkulace a Porovnání'!D688</f>
        <v>2033</v>
      </c>
      <c r="E688" s="25"/>
      <c r="F688" s="272" t="s">
        <v>221</v>
      </c>
      <c r="G688" s="275" t="str">
        <f>'Kalkulace a Porovnání'!G688</f>
        <v>-</v>
      </c>
      <c r="H688" s="275" t="str">
        <f>'Kalkulace a Porovnání'!H688</f>
        <v xml:space="preserve"> </v>
      </c>
      <c r="L688" s="272" t="s">
        <v>103</v>
      </c>
      <c r="M688" s="274">
        <f>'Kalkulace a Porovnání'!M688</f>
        <v>2033</v>
      </c>
      <c r="O688" s="272" t="s">
        <v>221</v>
      </c>
      <c r="P688" s="275" t="str">
        <f>'Kalkulace a Porovnání'!P688</f>
        <v>-</v>
      </c>
      <c r="Q688" s="275" t="str">
        <f>'Kalkulace a Porovnání'!Q688</f>
        <v xml:space="preserve"> </v>
      </c>
      <c r="T688" s="333"/>
      <c r="U688" s="333"/>
      <c r="V688" s="342" t="s">
        <v>147</v>
      </c>
      <c r="W688" s="274">
        <f>'Kalkulace a Porovnání'!W688</f>
        <v>2033</v>
      </c>
      <c r="Z688" s="272" t="s">
        <v>221</v>
      </c>
      <c r="AA688" s="275" t="str">
        <f>'Kalkulace a Porovnání'!AA688</f>
        <v>-</v>
      </c>
      <c r="AB688" s="275" t="str">
        <f>'Kalkulace a Porovnání'!AB688</f>
        <v xml:space="preserve"> </v>
      </c>
      <c r="AC688" s="146"/>
      <c r="AD688" s="428"/>
      <c r="AG688" s="428"/>
      <c r="AH688" s="428"/>
      <c r="AI688" s="428"/>
      <c r="AJ688" s="428"/>
      <c r="AK688" s="428"/>
      <c r="AL688" s="146"/>
    </row>
    <row r="689" spans="2:38" x14ac:dyDescent="0.25">
      <c r="B689" s="13" t="s">
        <v>66</v>
      </c>
      <c r="C689" s="13" t="s">
        <v>89</v>
      </c>
      <c r="D689" s="1061" t="str">
        <f>'Kalkulace a Porovnání'!D689</f>
        <v>PRVOK s.r.o., IČ 281 28 257</v>
      </c>
      <c r="E689" s="1062"/>
      <c r="F689" s="1062"/>
      <c r="G689" s="1062"/>
      <c r="H689" s="1063"/>
      <c r="K689" s="13" t="s">
        <v>66</v>
      </c>
      <c r="L689" s="13" t="s">
        <v>89</v>
      </c>
      <c r="M689" s="1061" t="str">
        <f>'Kalkulace a Porovnání'!M689</f>
        <v>PRVOK s.r.o., IČ 281 28 257</v>
      </c>
      <c r="N689" s="1062"/>
      <c r="O689" s="1062"/>
      <c r="P689" s="1062"/>
      <c r="Q689" s="1063"/>
      <c r="T689" s="13" t="s">
        <v>66</v>
      </c>
      <c r="U689" s="13" t="s">
        <v>89</v>
      </c>
      <c r="V689" s="1080" t="str">
        <f>'Kalkulace a Porovnání'!V689</f>
        <v>PRVOK s.r.o., IČ 281 28 257</v>
      </c>
      <c r="W689" s="1081"/>
      <c r="X689" s="1081"/>
      <c r="Y689" s="1081"/>
      <c r="Z689" s="1081"/>
      <c r="AA689" s="1081"/>
      <c r="AB689" s="1081"/>
      <c r="AC689" s="146"/>
      <c r="AD689" s="428"/>
      <c r="AG689" s="252"/>
      <c r="AH689" s="252"/>
      <c r="AI689" s="252"/>
      <c r="AJ689" s="252"/>
      <c r="AK689" s="428"/>
      <c r="AL689" s="146"/>
    </row>
    <row r="690" spans="2:38" x14ac:dyDescent="0.25">
      <c r="B690" s="13" t="s">
        <v>84</v>
      </c>
      <c r="C690" s="13" t="s">
        <v>90</v>
      </c>
      <c r="D690" s="1061" t="str">
        <f>'Kalkulace a Porovnání'!D690</f>
        <v>PRVOK s.r.o., IČ 281 28 257</v>
      </c>
      <c r="E690" s="1062"/>
      <c r="F690" s="1062"/>
      <c r="G690" s="1062"/>
      <c r="H690" s="1063"/>
      <c r="K690" s="13" t="s">
        <v>84</v>
      </c>
      <c r="L690" s="13" t="s">
        <v>90</v>
      </c>
      <c r="M690" s="1061" t="str">
        <f>'Kalkulace a Porovnání'!M690</f>
        <v>PRVOK s.r.o., IČ 281 28 257</v>
      </c>
      <c r="N690" s="1062"/>
      <c r="O690" s="1062"/>
      <c r="P690" s="1062"/>
      <c r="Q690" s="1063"/>
      <c r="T690" s="13" t="s">
        <v>84</v>
      </c>
      <c r="U690" s="13" t="s">
        <v>90</v>
      </c>
      <c r="V690" s="1080" t="str">
        <f>'Kalkulace a Porovnání'!V690</f>
        <v>PRVOK s.r.o., IČ 281 28 257</v>
      </c>
      <c r="W690" s="1081"/>
      <c r="X690" s="1081"/>
      <c r="Y690" s="1081"/>
      <c r="Z690" s="1081"/>
      <c r="AA690" s="1081"/>
      <c r="AB690" s="1081"/>
      <c r="AC690" s="146"/>
      <c r="AD690" s="428"/>
      <c r="AG690" s="252"/>
      <c r="AH690" s="252"/>
      <c r="AI690" s="252"/>
      <c r="AJ690" s="252"/>
      <c r="AK690" s="428"/>
      <c r="AL690" s="146"/>
    </row>
    <row r="691" spans="2:38" x14ac:dyDescent="0.25">
      <c r="B691" s="13" t="s">
        <v>85</v>
      </c>
      <c r="C691" s="13" t="s">
        <v>91</v>
      </c>
      <c r="D691" s="1061" t="str">
        <f>'Kalkulace a Porovnání'!D691</f>
        <v>Obec Benešov nad Černou, IČ 00245780</v>
      </c>
      <c r="E691" s="1062"/>
      <c r="F691" s="1062"/>
      <c r="G691" s="1062"/>
      <c r="H691" s="1063"/>
      <c r="K691" s="13" t="s">
        <v>85</v>
      </c>
      <c r="L691" s="13" t="s">
        <v>91</v>
      </c>
      <c r="M691" s="1061" t="str">
        <f>'Kalkulace a Porovnání'!M691</f>
        <v>Obec Benešov nad Černou, IČ 00245780</v>
      </c>
      <c r="N691" s="1062"/>
      <c r="O691" s="1062"/>
      <c r="P691" s="1062"/>
      <c r="Q691" s="1063"/>
      <c r="T691" s="13" t="s">
        <v>85</v>
      </c>
      <c r="U691" s="13" t="s">
        <v>91</v>
      </c>
      <c r="V691" s="1080" t="str">
        <f>'Kalkulace a Porovnání'!V691</f>
        <v>Obec Benešov nad Černou, IČ 00245780</v>
      </c>
      <c r="W691" s="1081"/>
      <c r="X691" s="1081"/>
      <c r="Y691" s="1081"/>
      <c r="Z691" s="1081"/>
      <c r="AA691" s="1081"/>
      <c r="AB691" s="1081"/>
      <c r="AC691" s="146"/>
      <c r="AD691" s="428"/>
      <c r="AG691" s="252"/>
      <c r="AH691" s="252"/>
      <c r="AI691" s="252"/>
      <c r="AJ691" s="252"/>
      <c r="AK691" s="428"/>
      <c r="AL691" s="146"/>
    </row>
    <row r="692" spans="2:38" x14ac:dyDescent="0.25">
      <c r="B692" s="13" t="s">
        <v>86</v>
      </c>
      <c r="C692" s="13" t="s">
        <v>93</v>
      </c>
      <c r="D692" s="1061" t="str">
        <f>'Kalkulace a Porovnání'!D692</f>
        <v>A</v>
      </c>
      <c r="E692" s="1062"/>
      <c r="F692" s="1062"/>
      <c r="G692" s="1062"/>
      <c r="H692" s="1063"/>
      <c r="K692" s="13" t="s">
        <v>86</v>
      </c>
      <c r="L692" s="13" t="s">
        <v>93</v>
      </c>
      <c r="M692" s="1061" t="str">
        <f>'Kalkulace a Porovnání'!M692</f>
        <v>A</v>
      </c>
      <c r="N692" s="1062"/>
      <c r="O692" s="1062"/>
      <c r="P692" s="1062"/>
      <c r="Q692" s="1063"/>
      <c r="T692" s="13" t="s">
        <v>86</v>
      </c>
      <c r="U692" s="13" t="s">
        <v>93</v>
      </c>
      <c r="V692" s="1080" t="str">
        <f>'Kalkulace a Porovnání'!V692</f>
        <v>A</v>
      </c>
      <c r="W692" s="1081"/>
      <c r="X692" s="1081"/>
      <c r="Y692" s="1081"/>
      <c r="Z692" s="1081"/>
      <c r="AA692" s="1081"/>
      <c r="AB692" s="1081"/>
      <c r="AC692" s="146"/>
      <c r="AD692" s="428"/>
      <c r="AG692" s="252"/>
      <c r="AH692" s="252"/>
      <c r="AI692" s="252"/>
      <c r="AJ692" s="252"/>
      <c r="AK692" s="428"/>
      <c r="AL692" s="146"/>
    </row>
    <row r="693" spans="2:38" x14ac:dyDescent="0.25">
      <c r="B693" s="13" t="s">
        <v>87</v>
      </c>
      <c r="C693" s="13" t="s">
        <v>92</v>
      </c>
      <c r="D693" s="1061">
        <f>'Kalkulace a Porovnání'!D693</f>
        <v>1</v>
      </c>
      <c r="E693" s="1062"/>
      <c r="F693" s="1062"/>
      <c r="G693" s="1062"/>
      <c r="H693" s="1063"/>
      <c r="K693" s="13" t="s">
        <v>87</v>
      </c>
      <c r="L693" s="13" t="s">
        <v>92</v>
      </c>
      <c r="M693" s="1061">
        <f>'Kalkulace a Porovnání'!M693</f>
        <v>1</v>
      </c>
      <c r="N693" s="1062"/>
      <c r="O693" s="1062"/>
      <c r="P693" s="1062"/>
      <c r="Q693" s="1063"/>
      <c r="T693" s="13" t="s">
        <v>87</v>
      </c>
      <c r="U693" s="13" t="s">
        <v>92</v>
      </c>
      <c r="V693" s="1080">
        <f>'Kalkulace a Porovnání'!V693</f>
        <v>1</v>
      </c>
      <c r="W693" s="1081"/>
      <c r="X693" s="1081"/>
      <c r="Y693" s="1081"/>
      <c r="Z693" s="1081"/>
      <c r="AA693" s="1081"/>
      <c r="AB693" s="1081"/>
      <c r="AC693" s="146"/>
      <c r="AD693" s="428"/>
      <c r="AG693" s="252"/>
      <c r="AH693" s="252"/>
      <c r="AI693" s="252"/>
      <c r="AJ693" s="252"/>
      <c r="AK693" s="428"/>
      <c r="AL693" s="146"/>
    </row>
    <row r="694" spans="2:38" x14ac:dyDescent="0.25">
      <c r="B694" s="13" t="s">
        <v>88</v>
      </c>
      <c r="C694" s="13" t="s">
        <v>94</v>
      </c>
      <c r="D694" s="1061" t="str">
        <f>'Kalkulace a Porovnání'!D694</f>
        <v>[vyplnit]</v>
      </c>
      <c r="E694" s="1062"/>
      <c r="F694" s="1062"/>
      <c r="G694" s="1062"/>
      <c r="H694" s="1063"/>
      <c r="K694" s="13" t="s">
        <v>88</v>
      </c>
      <c r="L694" s="13" t="s">
        <v>94</v>
      </c>
      <c r="M694" s="1061" t="str">
        <f>'Kalkulace a Porovnání'!M694</f>
        <v xml:space="preserve"> </v>
      </c>
      <c r="N694" s="1062"/>
      <c r="O694" s="1062"/>
      <c r="P694" s="1062"/>
      <c r="Q694" s="1063"/>
      <c r="T694" s="13" t="s">
        <v>88</v>
      </c>
      <c r="U694" s="13" t="s">
        <v>94</v>
      </c>
      <c r="V694" s="1080" t="str">
        <f>'Kalkulace a Porovnání'!V694</f>
        <v xml:space="preserve"> </v>
      </c>
      <c r="W694" s="1081"/>
      <c r="X694" s="1081"/>
      <c r="Y694" s="1081"/>
      <c r="Z694" s="1081"/>
      <c r="AA694" s="1081"/>
      <c r="AB694" s="1081"/>
      <c r="AC694" s="146"/>
      <c r="AD694" s="428"/>
      <c r="AG694" s="252"/>
      <c r="AH694" s="252"/>
      <c r="AI694" s="252"/>
      <c r="AJ694" s="252"/>
      <c r="AK694" s="428"/>
      <c r="AL694" s="146"/>
    </row>
    <row r="695" spans="2:38" x14ac:dyDescent="0.25">
      <c r="AC695" s="146"/>
      <c r="AD695" s="428"/>
      <c r="AG695" s="252"/>
      <c r="AH695" s="252"/>
      <c r="AI695" s="252"/>
      <c r="AJ695" s="252"/>
      <c r="AK695" s="428"/>
      <c r="AL695" s="146"/>
    </row>
    <row r="696" spans="2:38" x14ac:dyDescent="0.25">
      <c r="B696" s="1052" t="s">
        <v>5</v>
      </c>
      <c r="C696" s="884" t="s">
        <v>0</v>
      </c>
      <c r="D696" s="868"/>
      <c r="E696" s="868"/>
      <c r="F696" s="868"/>
      <c r="G696" s="868"/>
      <c r="H696" s="869"/>
      <c r="K696" s="1052" t="s">
        <v>5</v>
      </c>
      <c r="L696" s="884" t="s">
        <v>0</v>
      </c>
      <c r="M696" s="868"/>
      <c r="N696" s="868"/>
      <c r="O696" s="868"/>
      <c r="P696" s="868"/>
      <c r="Q696" s="869"/>
      <c r="T696" s="1052" t="s">
        <v>5</v>
      </c>
      <c r="U696" s="884" t="s">
        <v>0</v>
      </c>
      <c r="V696" s="868"/>
      <c r="W696" s="868"/>
      <c r="X696" s="868"/>
      <c r="Y696" s="868"/>
      <c r="Z696" s="868"/>
      <c r="AA696" s="868"/>
      <c r="AB696" s="869"/>
      <c r="AC696" s="146"/>
      <c r="AD696" s="428"/>
      <c r="AG696" s="252"/>
      <c r="AH696" s="252"/>
      <c r="AI696" s="252"/>
      <c r="AJ696" s="252"/>
      <c r="AK696" s="428"/>
      <c r="AL696" s="146"/>
    </row>
    <row r="697" spans="2:38" x14ac:dyDescent="0.25">
      <c r="B697" s="1053"/>
      <c r="C697" s="1052" t="s">
        <v>1</v>
      </c>
      <c r="D697" s="1065" t="s">
        <v>133</v>
      </c>
      <c r="E697" s="884" t="s">
        <v>3</v>
      </c>
      <c r="F697" s="868"/>
      <c r="G697" s="884" t="s">
        <v>4</v>
      </c>
      <c r="H697" s="869"/>
      <c r="K697" s="1053"/>
      <c r="L697" s="1052" t="s">
        <v>1</v>
      </c>
      <c r="M697" s="1065" t="s">
        <v>133</v>
      </c>
      <c r="N697" s="884" t="s">
        <v>3</v>
      </c>
      <c r="O697" s="868"/>
      <c r="P697" s="884" t="s">
        <v>4</v>
      </c>
      <c r="Q697" s="869"/>
      <c r="T697" s="1053"/>
      <c r="U697" s="1052" t="s">
        <v>1</v>
      </c>
      <c r="V697" s="1065" t="s">
        <v>133</v>
      </c>
      <c r="W697" s="884" t="s">
        <v>3</v>
      </c>
      <c r="X697" s="868"/>
      <c r="Y697" s="868"/>
      <c r="Z697" s="884" t="s">
        <v>4</v>
      </c>
      <c r="AA697" s="868"/>
      <c r="AB697" s="869"/>
      <c r="AC697" s="146"/>
      <c r="AD697" s="428"/>
      <c r="AG697" s="252"/>
      <c r="AH697" s="252"/>
      <c r="AI697" s="252"/>
      <c r="AJ697" s="252"/>
      <c r="AK697" s="428"/>
      <c r="AL697" s="146"/>
    </row>
    <row r="698" spans="2:38" x14ac:dyDescent="0.25">
      <c r="B698" s="1053"/>
      <c r="C698" s="1053"/>
      <c r="D698" s="1053"/>
      <c r="E698" s="28">
        <f>'Kalkulace a Porovnání'!E698</f>
        <v>2032</v>
      </c>
      <c r="F698" s="28">
        <f>'Kalkulace a Porovnání'!F698</f>
        <v>2033</v>
      </c>
      <c r="G698" s="28">
        <f>'Kalkulace a Porovnání'!G698</f>
        <v>2032</v>
      </c>
      <c r="H698" s="28">
        <f>'Kalkulace a Porovnání'!H698</f>
        <v>2033</v>
      </c>
      <c r="K698" s="1053"/>
      <c r="L698" s="1053"/>
      <c r="M698" s="1053"/>
      <c r="N698" s="28">
        <f>'Kalkulace a Porovnání'!N698</f>
        <v>2032</v>
      </c>
      <c r="O698" s="28">
        <f>'Kalkulace a Porovnání'!O698</f>
        <v>2033</v>
      </c>
      <c r="P698" s="28">
        <f>'Kalkulace a Porovnání'!P698</f>
        <v>2032</v>
      </c>
      <c r="Q698" s="28">
        <f>'Kalkulace a Porovnání'!Q698</f>
        <v>2033</v>
      </c>
      <c r="T698" s="1053"/>
      <c r="U698" s="1053"/>
      <c r="V698" s="1053"/>
      <c r="W698" s="28">
        <f>'Kalkulace a Porovnání'!W698</f>
        <v>2033</v>
      </c>
      <c r="X698" s="28">
        <f>'Kalkulace a Porovnání'!X698</f>
        <v>2033</v>
      </c>
      <c r="Y698" s="28">
        <f>'Kalkulace a Porovnání'!Y698</f>
        <v>2033</v>
      </c>
      <c r="Z698" s="28">
        <f>'Kalkulace a Porovnání'!Z698</f>
        <v>2033</v>
      </c>
      <c r="AA698" s="28">
        <f>'Kalkulace a Porovnání'!AA698</f>
        <v>2033</v>
      </c>
      <c r="AB698" s="28">
        <f>'Kalkulace a Porovnání'!AB698</f>
        <v>2033</v>
      </c>
      <c r="AC698" s="146"/>
      <c r="AD698" s="428"/>
      <c r="AG698" s="252"/>
      <c r="AH698" s="252"/>
      <c r="AI698" s="252"/>
      <c r="AJ698" s="252"/>
      <c r="AK698" s="428"/>
      <c r="AL698" s="146"/>
    </row>
    <row r="699" spans="2:38" x14ac:dyDescent="0.25">
      <c r="B699" s="1054"/>
      <c r="C699" s="1054"/>
      <c r="D699" s="1054"/>
      <c r="E699" s="7" t="s">
        <v>151</v>
      </c>
      <c r="F699" s="7" t="s">
        <v>98</v>
      </c>
      <c r="G699" s="7" t="s">
        <v>151</v>
      </c>
      <c r="H699" s="19" t="s">
        <v>98</v>
      </c>
      <c r="K699" s="1054"/>
      <c r="L699" s="1054"/>
      <c r="M699" s="1054"/>
      <c r="N699" s="7" t="s">
        <v>151</v>
      </c>
      <c r="O699" s="7" t="s">
        <v>98</v>
      </c>
      <c r="P699" s="7" t="s">
        <v>151</v>
      </c>
      <c r="Q699" s="19" t="s">
        <v>98</v>
      </c>
      <c r="T699" s="1054"/>
      <c r="U699" s="1054"/>
      <c r="V699" s="1054"/>
      <c r="W699" s="7" t="s">
        <v>150</v>
      </c>
      <c r="X699" s="7" t="s">
        <v>98</v>
      </c>
      <c r="Y699" s="7" t="s">
        <v>149</v>
      </c>
      <c r="Z699" s="7" t="s">
        <v>150</v>
      </c>
      <c r="AA699" s="7" t="s">
        <v>98</v>
      </c>
      <c r="AB699" s="19" t="s">
        <v>149</v>
      </c>
      <c r="AC699" s="146"/>
      <c r="AD699" s="428"/>
      <c r="AG699" s="252"/>
      <c r="AH699" s="252"/>
      <c r="AI699" s="252"/>
      <c r="AJ699" s="252"/>
      <c r="AK699" s="428"/>
      <c r="AL699" s="146"/>
    </row>
    <row r="700" spans="2:38" x14ac:dyDescent="0.25">
      <c r="B700" s="11">
        <v>1</v>
      </c>
      <c r="C700" s="11">
        <v>2</v>
      </c>
      <c r="D700" s="11" t="s">
        <v>95</v>
      </c>
      <c r="E700" s="11">
        <v>3</v>
      </c>
      <c r="F700" s="11">
        <v>4</v>
      </c>
      <c r="G700" s="11">
        <v>6</v>
      </c>
      <c r="H700" s="22">
        <v>7</v>
      </c>
      <c r="K700" s="11">
        <v>1</v>
      </c>
      <c r="L700" s="11">
        <v>2</v>
      </c>
      <c r="M700" s="11" t="s">
        <v>95</v>
      </c>
      <c r="N700" s="11">
        <v>3</v>
      </c>
      <c r="O700" s="11">
        <v>4</v>
      </c>
      <c r="P700" s="11">
        <v>6</v>
      </c>
      <c r="Q700" s="22">
        <v>7</v>
      </c>
      <c r="T700" s="11">
        <v>1</v>
      </c>
      <c r="U700" s="11">
        <v>2</v>
      </c>
      <c r="V700" s="11" t="s">
        <v>95</v>
      </c>
      <c r="W700" s="11">
        <v>3</v>
      </c>
      <c r="X700" s="11">
        <v>4</v>
      </c>
      <c r="Y700" s="11">
        <v>5</v>
      </c>
      <c r="Z700" s="11">
        <v>6</v>
      </c>
      <c r="AA700" s="11">
        <v>7</v>
      </c>
      <c r="AB700" s="22">
        <v>8</v>
      </c>
      <c r="AC700" s="146"/>
      <c r="AD700" s="428"/>
      <c r="AG700" s="252"/>
      <c r="AH700" s="252"/>
      <c r="AI700" s="252"/>
      <c r="AJ700" s="252"/>
      <c r="AK700" s="428"/>
      <c r="AL700" s="146"/>
    </row>
    <row r="701" spans="2:38" x14ac:dyDescent="0.25">
      <c r="B701" s="9" t="s">
        <v>8</v>
      </c>
      <c r="C701" s="10" t="s">
        <v>9</v>
      </c>
      <c r="D701" s="11" t="s">
        <v>10</v>
      </c>
      <c r="E701" s="41">
        <f>'Kalkulace a Porovnání'!E701</f>
        <v>0</v>
      </c>
      <c r="F701" s="41">
        <f>'Kalkulace a Porovnání'!F701</f>
        <v>0</v>
      </c>
      <c r="G701" s="41">
        <f>'Kalkulace a Porovnání'!G701</f>
        <v>0</v>
      </c>
      <c r="H701" s="86">
        <f>'Kalkulace a Porovnání'!H701</f>
        <v>0</v>
      </c>
      <c r="K701" s="9" t="s">
        <v>8</v>
      </c>
      <c r="L701" s="10" t="s">
        <v>9</v>
      </c>
      <c r="M701" s="11" t="s">
        <v>10</v>
      </c>
      <c r="N701" s="41">
        <f>'Kalkulace a Porovnání'!N701</f>
        <v>0</v>
      </c>
      <c r="O701" s="41">
        <f>'Kalkulace a Porovnání'!O701</f>
        <v>0</v>
      </c>
      <c r="P701" s="41">
        <f>'Kalkulace a Porovnání'!P701</f>
        <v>0</v>
      </c>
      <c r="Q701" s="86">
        <f>'Kalkulace a Porovnání'!Q701</f>
        <v>0</v>
      </c>
      <c r="T701" s="9" t="s">
        <v>8</v>
      </c>
      <c r="U701" s="10" t="s">
        <v>9</v>
      </c>
      <c r="V701" s="11" t="s">
        <v>10</v>
      </c>
      <c r="W701" s="41">
        <f>'Kalkulace a Porovnání'!W701</f>
        <v>0</v>
      </c>
      <c r="X701" s="41">
        <f>'Kalkulace a Porovnání'!X701</f>
        <v>0</v>
      </c>
      <c r="Y701" s="41">
        <f>'Kalkulace a Porovnání'!Y701</f>
        <v>0</v>
      </c>
      <c r="Z701" s="41">
        <f>'Kalkulace a Porovnání'!Z701</f>
        <v>0</v>
      </c>
      <c r="AA701" s="41">
        <f>'Kalkulace a Porovnání'!AA701</f>
        <v>0</v>
      </c>
      <c r="AB701" s="86">
        <f>'Kalkulace a Porovnání'!AB701</f>
        <v>0</v>
      </c>
      <c r="AC701" s="146"/>
      <c r="AD701" s="428"/>
      <c r="AG701" s="252"/>
      <c r="AH701" s="252"/>
      <c r="AI701" s="252"/>
      <c r="AJ701" s="252"/>
      <c r="AK701" s="428"/>
      <c r="AL701" s="146"/>
    </row>
    <row r="702" spans="2:38" x14ac:dyDescent="0.25">
      <c r="B702" s="12" t="s">
        <v>11</v>
      </c>
      <c r="C702" s="13" t="s">
        <v>12</v>
      </c>
      <c r="D702" s="3" t="s">
        <v>10</v>
      </c>
      <c r="E702" s="44">
        <f>'Kalkulace a Porovnání'!E702</f>
        <v>0</v>
      </c>
      <c r="F702" s="44">
        <f>'Kalkulace a Porovnání'!F702</f>
        <v>0</v>
      </c>
      <c r="G702" s="44">
        <f>'Kalkulace a Porovnání'!G702</f>
        <v>0</v>
      </c>
      <c r="H702" s="30">
        <f>'Kalkulace a Porovnání'!H702</f>
        <v>0</v>
      </c>
      <c r="K702" s="12" t="s">
        <v>11</v>
      </c>
      <c r="L702" s="13" t="s">
        <v>12</v>
      </c>
      <c r="M702" s="3" t="s">
        <v>10</v>
      </c>
      <c r="N702" s="44">
        <f>'Kalkulace a Porovnání'!N702</f>
        <v>0</v>
      </c>
      <c r="O702" s="44">
        <f>'Kalkulace a Porovnání'!O702</f>
        <v>0</v>
      </c>
      <c r="P702" s="44">
        <f>'Kalkulace a Porovnání'!P702</f>
        <v>0</v>
      </c>
      <c r="Q702" s="30">
        <f>'Kalkulace a Porovnání'!Q702</f>
        <v>0</v>
      </c>
      <c r="T702" s="12" t="s">
        <v>11</v>
      </c>
      <c r="U702" s="13" t="s">
        <v>12</v>
      </c>
      <c r="V702" s="3" t="s">
        <v>10</v>
      </c>
      <c r="W702" s="44">
        <f>'Kalkulace a Porovnání'!W702</f>
        <v>0</v>
      </c>
      <c r="X702" s="44">
        <f>'Kalkulace a Porovnání'!X702</f>
        <v>0</v>
      </c>
      <c r="Y702" s="44">
        <f>'Kalkulace a Porovnání'!Y702</f>
        <v>0</v>
      </c>
      <c r="Z702" s="44">
        <f>'Kalkulace a Porovnání'!Z702</f>
        <v>0</v>
      </c>
      <c r="AA702" s="44">
        <f>'Kalkulace a Porovnání'!AA702</f>
        <v>0</v>
      </c>
      <c r="AB702" s="30">
        <f>'Kalkulace a Porovnání'!AB702</f>
        <v>0</v>
      </c>
      <c r="AC702" s="146"/>
      <c r="AD702" s="428"/>
      <c r="AG702" s="252"/>
      <c r="AH702" s="252"/>
      <c r="AI702" s="252"/>
      <c r="AJ702" s="252"/>
      <c r="AK702" s="428"/>
      <c r="AL702" s="146"/>
    </row>
    <row r="703" spans="2:38" x14ac:dyDescent="0.25">
      <c r="B703" s="12" t="s">
        <v>13</v>
      </c>
      <c r="C703" s="12" t="s">
        <v>14</v>
      </c>
      <c r="D703" s="3" t="s">
        <v>10</v>
      </c>
      <c r="E703" s="44">
        <f>'Kalkulace a Porovnání'!E703</f>
        <v>0</v>
      </c>
      <c r="F703" s="44">
        <f>'Kalkulace a Porovnání'!F703</f>
        <v>0</v>
      </c>
      <c r="G703" s="44">
        <f>'Kalkulace a Porovnání'!G703</f>
        <v>0</v>
      </c>
      <c r="H703" s="30">
        <f>'Kalkulace a Porovnání'!H703</f>
        <v>0</v>
      </c>
      <c r="K703" s="12" t="s">
        <v>13</v>
      </c>
      <c r="L703" s="12" t="s">
        <v>14</v>
      </c>
      <c r="M703" s="3" t="s">
        <v>10</v>
      </c>
      <c r="N703" s="44">
        <f>'Kalkulace a Porovnání'!N703</f>
        <v>0</v>
      </c>
      <c r="O703" s="44">
        <f>'Kalkulace a Porovnání'!O703</f>
        <v>0</v>
      </c>
      <c r="P703" s="44">
        <f>'Kalkulace a Porovnání'!P703</f>
        <v>0</v>
      </c>
      <c r="Q703" s="30">
        <f>'Kalkulace a Porovnání'!Q703</f>
        <v>0</v>
      </c>
      <c r="T703" s="12" t="s">
        <v>13</v>
      </c>
      <c r="U703" s="12" t="s">
        <v>14</v>
      </c>
      <c r="V703" s="3" t="s">
        <v>10</v>
      </c>
      <c r="W703" s="44">
        <f>'Kalkulace a Porovnání'!W703</f>
        <v>0</v>
      </c>
      <c r="X703" s="44">
        <f>'Kalkulace a Porovnání'!X703</f>
        <v>0</v>
      </c>
      <c r="Y703" s="44">
        <f>'Kalkulace a Porovnání'!Y703</f>
        <v>0</v>
      </c>
      <c r="Z703" s="44">
        <f>'Kalkulace a Porovnání'!Z703</f>
        <v>0</v>
      </c>
      <c r="AA703" s="44">
        <f>'Kalkulace a Porovnání'!AA703</f>
        <v>0</v>
      </c>
      <c r="AB703" s="30">
        <f>'Kalkulace a Porovnání'!AB703</f>
        <v>0</v>
      </c>
      <c r="AC703" s="146"/>
      <c r="AD703" s="428"/>
      <c r="AG703" s="252"/>
      <c r="AH703" s="252"/>
      <c r="AI703" s="252"/>
      <c r="AJ703" s="252"/>
      <c r="AK703" s="428"/>
      <c r="AL703" s="146"/>
    </row>
    <row r="704" spans="2:38" x14ac:dyDescent="0.25">
      <c r="B704" s="12" t="s">
        <v>15</v>
      </c>
      <c r="C704" s="13" t="s">
        <v>16</v>
      </c>
      <c r="D704" s="3" t="s">
        <v>10</v>
      </c>
      <c r="E704" s="44">
        <f>'Kalkulace a Porovnání'!E704</f>
        <v>0</v>
      </c>
      <c r="F704" s="44">
        <f>'Kalkulace a Porovnání'!F704</f>
        <v>0</v>
      </c>
      <c r="G704" s="44">
        <f>'Kalkulace a Porovnání'!G704</f>
        <v>0</v>
      </c>
      <c r="H704" s="30">
        <f>'Kalkulace a Porovnání'!H704</f>
        <v>0</v>
      </c>
      <c r="K704" s="12" t="s">
        <v>15</v>
      </c>
      <c r="L704" s="13" t="s">
        <v>16</v>
      </c>
      <c r="M704" s="3" t="s">
        <v>10</v>
      </c>
      <c r="N704" s="44">
        <f>'Kalkulace a Porovnání'!N704</f>
        <v>0</v>
      </c>
      <c r="O704" s="44">
        <f>'Kalkulace a Porovnání'!O704</f>
        <v>0</v>
      </c>
      <c r="P704" s="44">
        <f>'Kalkulace a Porovnání'!P704</f>
        <v>0</v>
      </c>
      <c r="Q704" s="30">
        <f>'Kalkulace a Porovnání'!Q704</f>
        <v>0</v>
      </c>
      <c r="T704" s="12" t="s">
        <v>15</v>
      </c>
      <c r="U704" s="13" t="s">
        <v>16</v>
      </c>
      <c r="V704" s="3" t="s">
        <v>10</v>
      </c>
      <c r="W704" s="44">
        <f>'Kalkulace a Porovnání'!W704</f>
        <v>0</v>
      </c>
      <c r="X704" s="44">
        <f>'Kalkulace a Porovnání'!X704</f>
        <v>0</v>
      </c>
      <c r="Y704" s="44">
        <f>'Kalkulace a Porovnání'!Y704</f>
        <v>0</v>
      </c>
      <c r="Z704" s="44">
        <f>'Kalkulace a Porovnání'!Z704</f>
        <v>0</v>
      </c>
      <c r="AA704" s="44">
        <f>'Kalkulace a Porovnání'!AA704</f>
        <v>0</v>
      </c>
      <c r="AB704" s="30">
        <f>'Kalkulace a Porovnání'!AB704</f>
        <v>0</v>
      </c>
      <c r="AC704" s="146"/>
      <c r="AD704" s="428"/>
      <c r="AG704" s="252"/>
      <c r="AH704" s="252"/>
      <c r="AI704" s="252"/>
      <c r="AJ704" s="252"/>
      <c r="AK704" s="428"/>
      <c r="AL704" s="146"/>
    </row>
    <row r="705" spans="2:38" x14ac:dyDescent="0.25">
      <c r="B705" s="12" t="s">
        <v>17</v>
      </c>
      <c r="C705" s="13" t="s">
        <v>18</v>
      </c>
      <c r="D705" s="3" t="s">
        <v>10</v>
      </c>
      <c r="E705" s="44">
        <f>'Kalkulace a Porovnání'!E705</f>
        <v>0</v>
      </c>
      <c r="F705" s="44">
        <f>'Kalkulace a Porovnání'!F705</f>
        <v>0</v>
      </c>
      <c r="G705" s="44">
        <f>'Kalkulace a Porovnání'!G705</f>
        <v>0</v>
      </c>
      <c r="H705" s="30">
        <f>'Kalkulace a Porovnání'!H705</f>
        <v>0</v>
      </c>
      <c r="K705" s="12" t="s">
        <v>17</v>
      </c>
      <c r="L705" s="13" t="s">
        <v>18</v>
      </c>
      <c r="M705" s="3" t="s">
        <v>10</v>
      </c>
      <c r="N705" s="44">
        <f>'Kalkulace a Porovnání'!N705</f>
        <v>0</v>
      </c>
      <c r="O705" s="44">
        <f>'Kalkulace a Porovnání'!O705</f>
        <v>0</v>
      </c>
      <c r="P705" s="44">
        <f>'Kalkulace a Porovnání'!P705</f>
        <v>0</v>
      </c>
      <c r="Q705" s="30">
        <f>'Kalkulace a Porovnání'!Q705</f>
        <v>0</v>
      </c>
      <c r="T705" s="12" t="s">
        <v>17</v>
      </c>
      <c r="U705" s="13" t="s">
        <v>18</v>
      </c>
      <c r="V705" s="3" t="s">
        <v>10</v>
      </c>
      <c r="W705" s="44">
        <f>'Kalkulace a Porovnání'!W705</f>
        <v>0</v>
      </c>
      <c r="X705" s="44">
        <f>'Kalkulace a Porovnání'!X705</f>
        <v>0</v>
      </c>
      <c r="Y705" s="44">
        <f>'Kalkulace a Porovnání'!Y705</f>
        <v>0</v>
      </c>
      <c r="Z705" s="44">
        <f>'Kalkulace a Porovnání'!Z705</f>
        <v>0</v>
      </c>
      <c r="AA705" s="44">
        <f>'Kalkulace a Porovnání'!AA705</f>
        <v>0</v>
      </c>
      <c r="AB705" s="30">
        <f>'Kalkulace a Porovnání'!AB705</f>
        <v>0</v>
      </c>
      <c r="AC705" s="146"/>
      <c r="AD705" s="428"/>
      <c r="AG705" s="252"/>
      <c r="AH705" s="252"/>
      <c r="AI705" s="252"/>
      <c r="AJ705" s="252"/>
      <c r="AK705" s="428"/>
      <c r="AL705" s="146"/>
    </row>
    <row r="706" spans="2:38" x14ac:dyDescent="0.25">
      <c r="B706" s="9" t="s">
        <v>19</v>
      </c>
      <c r="C706" s="10" t="s">
        <v>20</v>
      </c>
      <c r="D706" s="11" t="s">
        <v>10</v>
      </c>
      <c r="E706" s="41">
        <f>'Kalkulace a Porovnání'!E706</f>
        <v>0</v>
      </c>
      <c r="F706" s="41">
        <f>'Kalkulace a Porovnání'!F706</f>
        <v>0</v>
      </c>
      <c r="G706" s="41">
        <f>'Kalkulace a Porovnání'!G706</f>
        <v>0</v>
      </c>
      <c r="H706" s="86">
        <f>'Kalkulace a Porovnání'!H706</f>
        <v>0</v>
      </c>
      <c r="K706" s="9" t="s">
        <v>19</v>
      </c>
      <c r="L706" s="10" t="s">
        <v>20</v>
      </c>
      <c r="M706" s="11" t="s">
        <v>10</v>
      </c>
      <c r="N706" s="41">
        <f>'Kalkulace a Porovnání'!N706</f>
        <v>0</v>
      </c>
      <c r="O706" s="41">
        <f>'Kalkulace a Porovnání'!O706</f>
        <v>0</v>
      </c>
      <c r="P706" s="41">
        <f>'Kalkulace a Porovnání'!P706</f>
        <v>0</v>
      </c>
      <c r="Q706" s="86">
        <f>'Kalkulace a Porovnání'!Q706</f>
        <v>0</v>
      </c>
      <c r="T706" s="9" t="s">
        <v>19</v>
      </c>
      <c r="U706" s="10" t="s">
        <v>20</v>
      </c>
      <c r="V706" s="11" t="s">
        <v>10</v>
      </c>
      <c r="W706" s="41">
        <f>'Kalkulace a Porovnání'!W706</f>
        <v>0</v>
      </c>
      <c r="X706" s="41">
        <f>'Kalkulace a Porovnání'!X706</f>
        <v>0</v>
      </c>
      <c r="Y706" s="41">
        <f>'Kalkulace a Porovnání'!Y706</f>
        <v>0</v>
      </c>
      <c r="Z706" s="41">
        <f>'Kalkulace a Porovnání'!Z706</f>
        <v>0</v>
      </c>
      <c r="AA706" s="41">
        <f>'Kalkulace a Porovnání'!AA706</f>
        <v>0</v>
      </c>
      <c r="AB706" s="86">
        <f>'Kalkulace a Porovnání'!AB706</f>
        <v>0</v>
      </c>
      <c r="AC706" s="146"/>
      <c r="AD706" s="428"/>
      <c r="AG706" s="252"/>
      <c r="AH706" s="252"/>
      <c r="AI706" s="252"/>
      <c r="AJ706" s="252"/>
      <c r="AK706" s="428"/>
      <c r="AL706" s="146"/>
    </row>
    <row r="707" spans="2:38" x14ac:dyDescent="0.25">
      <c r="B707" s="12" t="s">
        <v>21</v>
      </c>
      <c r="C707" s="12" t="s">
        <v>22</v>
      </c>
      <c r="D707" s="3" t="s">
        <v>10</v>
      </c>
      <c r="E707" s="44">
        <f>'Kalkulace a Porovnání'!E707</f>
        <v>0</v>
      </c>
      <c r="F707" s="44">
        <f>'Kalkulace a Porovnání'!F707</f>
        <v>0</v>
      </c>
      <c r="G707" s="44">
        <f>'Kalkulace a Porovnání'!G707</f>
        <v>0</v>
      </c>
      <c r="H707" s="30">
        <f>'Kalkulace a Porovnání'!H707</f>
        <v>0</v>
      </c>
      <c r="K707" s="12" t="s">
        <v>21</v>
      </c>
      <c r="L707" s="12" t="s">
        <v>22</v>
      </c>
      <c r="M707" s="3" t="s">
        <v>10</v>
      </c>
      <c r="N707" s="44">
        <f>'Kalkulace a Porovnání'!N707</f>
        <v>0</v>
      </c>
      <c r="O707" s="44">
        <f>'Kalkulace a Porovnání'!O707</f>
        <v>0</v>
      </c>
      <c r="P707" s="44">
        <f>'Kalkulace a Porovnání'!P707</f>
        <v>0</v>
      </c>
      <c r="Q707" s="30">
        <f>'Kalkulace a Porovnání'!Q707</f>
        <v>0</v>
      </c>
      <c r="T707" s="12" t="s">
        <v>21</v>
      </c>
      <c r="U707" s="12" t="s">
        <v>22</v>
      </c>
      <c r="V707" s="3" t="s">
        <v>10</v>
      </c>
      <c r="W707" s="44">
        <f>'Kalkulace a Porovnání'!W707</f>
        <v>0</v>
      </c>
      <c r="X707" s="44">
        <f>'Kalkulace a Porovnání'!X707</f>
        <v>0</v>
      </c>
      <c r="Y707" s="44">
        <f>'Kalkulace a Porovnání'!Y707</f>
        <v>0</v>
      </c>
      <c r="Z707" s="44">
        <f>'Kalkulace a Porovnání'!Z707</f>
        <v>0</v>
      </c>
      <c r="AA707" s="44">
        <f>'Kalkulace a Porovnání'!AA707</f>
        <v>0</v>
      </c>
      <c r="AB707" s="30">
        <f>'Kalkulace a Porovnání'!AB707</f>
        <v>0</v>
      </c>
      <c r="AC707" s="146"/>
      <c r="AD707" s="428"/>
      <c r="AG707" s="252"/>
      <c r="AH707" s="252"/>
      <c r="AI707" s="252"/>
      <c r="AJ707" s="252"/>
      <c r="AK707" s="428"/>
      <c r="AL707" s="146"/>
    </row>
    <row r="708" spans="2:38" x14ac:dyDescent="0.25">
      <c r="B708" s="12" t="s">
        <v>23</v>
      </c>
      <c r="C708" s="12" t="s">
        <v>24</v>
      </c>
      <c r="D708" s="3" t="s">
        <v>10</v>
      </c>
      <c r="E708" s="44">
        <f>'Kalkulace a Porovnání'!E708</f>
        <v>0</v>
      </c>
      <c r="F708" s="44">
        <f>'Kalkulace a Porovnání'!F708</f>
        <v>0</v>
      </c>
      <c r="G708" s="44">
        <f>'Kalkulace a Porovnání'!G708</f>
        <v>0</v>
      </c>
      <c r="H708" s="30">
        <f>'Kalkulace a Porovnání'!H708</f>
        <v>0</v>
      </c>
      <c r="K708" s="12" t="s">
        <v>23</v>
      </c>
      <c r="L708" s="12" t="s">
        <v>24</v>
      </c>
      <c r="M708" s="3" t="s">
        <v>10</v>
      </c>
      <c r="N708" s="44">
        <f>'Kalkulace a Porovnání'!N708</f>
        <v>0</v>
      </c>
      <c r="O708" s="44">
        <f>'Kalkulace a Porovnání'!O708</f>
        <v>0</v>
      </c>
      <c r="P708" s="44">
        <f>'Kalkulace a Porovnání'!P708</f>
        <v>0</v>
      </c>
      <c r="Q708" s="30">
        <f>'Kalkulace a Porovnání'!Q708</f>
        <v>0</v>
      </c>
      <c r="T708" s="12" t="s">
        <v>23</v>
      </c>
      <c r="U708" s="12" t="s">
        <v>24</v>
      </c>
      <c r="V708" s="3" t="s">
        <v>10</v>
      </c>
      <c r="W708" s="44">
        <f>'Kalkulace a Porovnání'!W708</f>
        <v>0</v>
      </c>
      <c r="X708" s="44">
        <f>'Kalkulace a Porovnání'!X708</f>
        <v>0</v>
      </c>
      <c r="Y708" s="44">
        <f>'Kalkulace a Porovnání'!Y708</f>
        <v>0</v>
      </c>
      <c r="Z708" s="44">
        <f>'Kalkulace a Porovnání'!Z708</f>
        <v>0</v>
      </c>
      <c r="AA708" s="44">
        <f>'Kalkulace a Porovnání'!AA708</f>
        <v>0</v>
      </c>
      <c r="AB708" s="30">
        <f>'Kalkulace a Porovnání'!AB708</f>
        <v>0</v>
      </c>
      <c r="AC708" s="146"/>
      <c r="AD708" s="428"/>
      <c r="AG708" s="252"/>
      <c r="AH708" s="252"/>
      <c r="AI708" s="252"/>
      <c r="AJ708" s="252"/>
      <c r="AK708" s="428"/>
      <c r="AL708" s="146"/>
    </row>
    <row r="709" spans="2:38" x14ac:dyDescent="0.25">
      <c r="B709" s="9" t="s">
        <v>25</v>
      </c>
      <c r="C709" s="10" t="s">
        <v>400</v>
      </c>
      <c r="D709" s="11" t="s">
        <v>10</v>
      </c>
      <c r="E709" s="41">
        <f>'Kalkulace a Porovnání'!E709</f>
        <v>0</v>
      </c>
      <c r="F709" s="41">
        <f>'Kalkulace a Porovnání'!F709</f>
        <v>0</v>
      </c>
      <c r="G709" s="41">
        <f>'Kalkulace a Porovnání'!G709</f>
        <v>0</v>
      </c>
      <c r="H709" s="86">
        <f>'Kalkulace a Porovnání'!H709</f>
        <v>0</v>
      </c>
      <c r="K709" s="9" t="s">
        <v>25</v>
      </c>
      <c r="L709" s="10" t="s">
        <v>400</v>
      </c>
      <c r="M709" s="11" t="s">
        <v>10</v>
      </c>
      <c r="N709" s="41">
        <f>'Kalkulace a Porovnání'!N709</f>
        <v>0</v>
      </c>
      <c r="O709" s="41">
        <f>'Kalkulace a Porovnání'!O709</f>
        <v>0</v>
      </c>
      <c r="P709" s="41">
        <f>'Kalkulace a Porovnání'!P709</f>
        <v>0</v>
      </c>
      <c r="Q709" s="86">
        <f>'Kalkulace a Porovnání'!Q709</f>
        <v>0</v>
      </c>
      <c r="T709" s="9" t="s">
        <v>25</v>
      </c>
      <c r="U709" s="10" t="s">
        <v>400</v>
      </c>
      <c r="V709" s="11" t="s">
        <v>10</v>
      </c>
      <c r="W709" s="41">
        <f>'Kalkulace a Porovnání'!W709</f>
        <v>0</v>
      </c>
      <c r="X709" s="41">
        <f>'Kalkulace a Porovnání'!X709</f>
        <v>0</v>
      </c>
      <c r="Y709" s="41">
        <f>'Kalkulace a Porovnání'!Y709</f>
        <v>0</v>
      </c>
      <c r="Z709" s="41">
        <f>'Kalkulace a Porovnání'!Z709</f>
        <v>0</v>
      </c>
      <c r="AA709" s="41">
        <f>'Kalkulace a Porovnání'!AA709</f>
        <v>0</v>
      </c>
      <c r="AB709" s="86">
        <f>'Kalkulace a Porovnání'!AB709</f>
        <v>0</v>
      </c>
      <c r="AC709" s="146"/>
      <c r="AD709" s="428"/>
      <c r="AG709" s="252"/>
      <c r="AH709" s="252"/>
      <c r="AI709" s="252"/>
      <c r="AJ709" s="252"/>
      <c r="AK709" s="428"/>
      <c r="AL709" s="146"/>
    </row>
    <row r="710" spans="2:38" x14ac:dyDescent="0.25">
      <c r="B710" s="12" t="s">
        <v>26</v>
      </c>
      <c r="C710" s="13" t="s">
        <v>390</v>
      </c>
      <c r="D710" s="3" t="s">
        <v>10</v>
      </c>
      <c r="E710" s="44">
        <f>'Kalkulace a Porovnání'!E710</f>
        <v>0</v>
      </c>
      <c r="F710" s="44">
        <f>'Kalkulace a Porovnání'!F710</f>
        <v>0</v>
      </c>
      <c r="G710" s="44">
        <f>'Kalkulace a Porovnání'!G710</f>
        <v>0</v>
      </c>
      <c r="H710" s="30">
        <f>'Kalkulace a Porovnání'!H710</f>
        <v>0</v>
      </c>
      <c r="K710" s="12" t="s">
        <v>26</v>
      </c>
      <c r="L710" s="13" t="s">
        <v>390</v>
      </c>
      <c r="M710" s="3" t="s">
        <v>10</v>
      </c>
      <c r="N710" s="44">
        <f>'Kalkulace a Porovnání'!N710</f>
        <v>0</v>
      </c>
      <c r="O710" s="44">
        <f>'Kalkulace a Porovnání'!O710</f>
        <v>0</v>
      </c>
      <c r="P710" s="44">
        <f>'Kalkulace a Porovnání'!P710</f>
        <v>0</v>
      </c>
      <c r="Q710" s="30">
        <f>'Kalkulace a Porovnání'!Q710</f>
        <v>0</v>
      </c>
      <c r="T710" s="12" t="s">
        <v>26</v>
      </c>
      <c r="U710" s="13" t="s">
        <v>390</v>
      </c>
      <c r="V710" s="3" t="s">
        <v>10</v>
      </c>
      <c r="W710" s="44">
        <f>'Kalkulace a Porovnání'!W710</f>
        <v>0</v>
      </c>
      <c r="X710" s="44">
        <f>'Kalkulace a Porovnání'!X710</f>
        <v>0</v>
      </c>
      <c r="Y710" s="44">
        <f>'Kalkulace a Porovnání'!Y710</f>
        <v>0</v>
      </c>
      <c r="Z710" s="44">
        <f>'Kalkulace a Porovnání'!Z710</f>
        <v>0</v>
      </c>
      <c r="AA710" s="44">
        <f>'Kalkulace a Porovnání'!AA710</f>
        <v>0</v>
      </c>
      <c r="AB710" s="30">
        <f>'Kalkulace a Porovnání'!AB710</f>
        <v>0</v>
      </c>
      <c r="AC710" s="146"/>
      <c r="AD710" s="428"/>
      <c r="AG710" s="252"/>
      <c r="AH710" s="252"/>
      <c r="AI710" s="252"/>
      <c r="AJ710" s="252"/>
      <c r="AK710" s="428"/>
      <c r="AL710" s="146"/>
    </row>
    <row r="711" spans="2:38" x14ac:dyDescent="0.25">
      <c r="B711" s="12" t="s">
        <v>27</v>
      </c>
      <c r="C711" s="13" t="s">
        <v>401</v>
      </c>
      <c r="D711" s="3" t="s">
        <v>10</v>
      </c>
      <c r="E711" s="44">
        <f>'Kalkulace a Porovnání'!E711</f>
        <v>0</v>
      </c>
      <c r="F711" s="44">
        <f>'Kalkulace a Porovnání'!F711</f>
        <v>0</v>
      </c>
      <c r="G711" s="44">
        <f>'Kalkulace a Porovnání'!G711</f>
        <v>0</v>
      </c>
      <c r="H711" s="30">
        <f>'Kalkulace a Porovnání'!H711</f>
        <v>0</v>
      </c>
      <c r="K711" s="12" t="s">
        <v>27</v>
      </c>
      <c r="L711" s="13" t="s">
        <v>401</v>
      </c>
      <c r="M711" s="3" t="s">
        <v>10</v>
      </c>
      <c r="N711" s="44">
        <f>'Kalkulace a Porovnání'!N711</f>
        <v>0</v>
      </c>
      <c r="O711" s="44">
        <f>'Kalkulace a Porovnání'!O711</f>
        <v>0</v>
      </c>
      <c r="P711" s="44">
        <f>'Kalkulace a Porovnání'!P711</f>
        <v>0</v>
      </c>
      <c r="Q711" s="30">
        <f>'Kalkulace a Porovnání'!Q711</f>
        <v>0</v>
      </c>
      <c r="T711" s="12" t="s">
        <v>27</v>
      </c>
      <c r="U711" s="13" t="s">
        <v>401</v>
      </c>
      <c r="V711" s="3" t="s">
        <v>10</v>
      </c>
      <c r="W711" s="44">
        <f>'Kalkulace a Porovnání'!W711</f>
        <v>0</v>
      </c>
      <c r="X711" s="44">
        <f>'Kalkulace a Porovnání'!X711</f>
        <v>0</v>
      </c>
      <c r="Y711" s="44">
        <f>'Kalkulace a Porovnání'!Y711</f>
        <v>0</v>
      </c>
      <c r="Z711" s="44">
        <f>'Kalkulace a Porovnání'!Z711</f>
        <v>0</v>
      </c>
      <c r="AA711" s="44">
        <f>'Kalkulace a Porovnání'!AA711</f>
        <v>0</v>
      </c>
      <c r="AB711" s="30">
        <f>'Kalkulace a Porovnání'!AB711</f>
        <v>0</v>
      </c>
      <c r="AC711" s="146"/>
      <c r="AD711" s="428"/>
      <c r="AG711" s="252"/>
      <c r="AH711" s="252"/>
      <c r="AI711" s="252"/>
      <c r="AJ711" s="252"/>
      <c r="AK711" s="428"/>
      <c r="AL711" s="146"/>
    </row>
    <row r="712" spans="2:38" x14ac:dyDescent="0.25">
      <c r="B712" s="9" t="s">
        <v>28</v>
      </c>
      <c r="C712" s="10" t="s">
        <v>29</v>
      </c>
      <c r="D712" s="11" t="s">
        <v>10</v>
      </c>
      <c r="E712" s="41">
        <f>'Kalkulace a Porovnání'!E712</f>
        <v>0</v>
      </c>
      <c r="F712" s="41">
        <f>'Kalkulace a Porovnání'!F712</f>
        <v>0</v>
      </c>
      <c r="G712" s="41">
        <f>'Kalkulace a Porovnání'!G712</f>
        <v>0</v>
      </c>
      <c r="H712" s="86">
        <f>'Kalkulace a Porovnání'!H712</f>
        <v>0</v>
      </c>
      <c r="K712" s="9" t="s">
        <v>28</v>
      </c>
      <c r="L712" s="10" t="s">
        <v>29</v>
      </c>
      <c r="M712" s="11" t="s">
        <v>10</v>
      </c>
      <c r="N712" s="41">
        <f>'Kalkulace a Porovnání'!N712</f>
        <v>0</v>
      </c>
      <c r="O712" s="41">
        <f>'Kalkulace a Porovnání'!O712</f>
        <v>0</v>
      </c>
      <c r="P712" s="41">
        <f>'Kalkulace a Porovnání'!P712</f>
        <v>0</v>
      </c>
      <c r="Q712" s="86">
        <f>'Kalkulace a Porovnání'!Q712</f>
        <v>0</v>
      </c>
      <c r="T712" s="9" t="s">
        <v>28</v>
      </c>
      <c r="U712" s="10" t="s">
        <v>29</v>
      </c>
      <c r="V712" s="11" t="s">
        <v>10</v>
      </c>
      <c r="W712" s="41">
        <f>'Kalkulace a Porovnání'!W712</f>
        <v>0</v>
      </c>
      <c r="X712" s="41">
        <f>'Kalkulace a Porovnání'!X712</f>
        <v>0</v>
      </c>
      <c r="Y712" s="41">
        <f>'Kalkulace a Porovnání'!Y712</f>
        <v>0</v>
      </c>
      <c r="Z712" s="41">
        <f>'Kalkulace a Porovnání'!Z712</f>
        <v>0</v>
      </c>
      <c r="AA712" s="41">
        <f>'Kalkulace a Porovnání'!AA712</f>
        <v>0</v>
      </c>
      <c r="AB712" s="86">
        <f>'Kalkulace a Porovnání'!AB712</f>
        <v>0</v>
      </c>
      <c r="AC712" s="146"/>
      <c r="AD712" s="428"/>
      <c r="AG712" s="252"/>
      <c r="AH712" s="252"/>
      <c r="AI712" s="252"/>
      <c r="AJ712" s="252"/>
      <c r="AK712" s="428"/>
      <c r="AL712" s="146"/>
    </row>
    <row r="713" spans="2:38" x14ac:dyDescent="0.25">
      <c r="B713" s="12" t="s">
        <v>30</v>
      </c>
      <c r="C713" s="21" t="s">
        <v>381</v>
      </c>
      <c r="D713" s="3" t="s">
        <v>10</v>
      </c>
      <c r="E713" s="44">
        <f>'Kalkulace a Porovnání'!E713</f>
        <v>0</v>
      </c>
      <c r="F713" s="44">
        <f>'Kalkulace a Porovnání'!F713</f>
        <v>0</v>
      </c>
      <c r="G713" s="44">
        <f>'Kalkulace a Porovnání'!G713</f>
        <v>0</v>
      </c>
      <c r="H713" s="30">
        <f>'Kalkulace a Porovnání'!H713</f>
        <v>0</v>
      </c>
      <c r="K713" s="12" t="s">
        <v>30</v>
      </c>
      <c r="L713" s="21" t="s">
        <v>381</v>
      </c>
      <c r="M713" s="3" t="s">
        <v>10</v>
      </c>
      <c r="N713" s="44">
        <f>'Kalkulace a Porovnání'!N713</f>
        <v>0</v>
      </c>
      <c r="O713" s="44">
        <f>'Kalkulace a Porovnání'!O713</f>
        <v>0</v>
      </c>
      <c r="P713" s="44">
        <f>'Kalkulace a Porovnání'!P713</f>
        <v>0</v>
      </c>
      <c r="Q713" s="30">
        <f>'Kalkulace a Porovnání'!Q713</f>
        <v>0</v>
      </c>
      <c r="T713" s="12" t="s">
        <v>30</v>
      </c>
      <c r="U713" s="21" t="s">
        <v>381</v>
      </c>
      <c r="V713" s="3" t="s">
        <v>10</v>
      </c>
      <c r="W713" s="44">
        <f>'Kalkulace a Porovnání'!W713</f>
        <v>0</v>
      </c>
      <c r="X713" s="44">
        <f>'Kalkulace a Porovnání'!X713</f>
        <v>0</v>
      </c>
      <c r="Y713" s="44">
        <f>'Kalkulace a Porovnání'!Y713</f>
        <v>0</v>
      </c>
      <c r="Z713" s="44">
        <f>'Kalkulace a Porovnání'!Z713</f>
        <v>0</v>
      </c>
      <c r="AA713" s="44">
        <f>'Kalkulace a Porovnání'!AA713</f>
        <v>0</v>
      </c>
      <c r="AB713" s="30">
        <f>'Kalkulace a Porovnání'!AB713</f>
        <v>0</v>
      </c>
      <c r="AC713" s="146"/>
      <c r="AD713" s="428"/>
      <c r="AG713" s="428"/>
      <c r="AH713" s="428"/>
      <c r="AI713" s="252"/>
      <c r="AJ713" s="252"/>
      <c r="AK713" s="428"/>
      <c r="AL713" s="146"/>
    </row>
    <row r="714" spans="2:38" x14ac:dyDescent="0.25">
      <c r="B714" s="12" t="s">
        <v>32</v>
      </c>
      <c r="C714" s="13" t="s">
        <v>383</v>
      </c>
      <c r="D714" s="3" t="s">
        <v>10</v>
      </c>
      <c r="E714" s="44">
        <f>'Kalkulace a Porovnání'!E714</f>
        <v>0</v>
      </c>
      <c r="F714" s="44">
        <f>'Kalkulace a Porovnání'!F714</f>
        <v>0</v>
      </c>
      <c r="G714" s="44">
        <f>'Kalkulace a Porovnání'!G714</f>
        <v>0</v>
      </c>
      <c r="H714" s="30">
        <f>'Kalkulace a Porovnání'!H714</f>
        <v>0</v>
      </c>
      <c r="K714" s="12" t="s">
        <v>32</v>
      </c>
      <c r="L714" s="13" t="s">
        <v>383</v>
      </c>
      <c r="M714" s="3" t="s">
        <v>10</v>
      </c>
      <c r="N714" s="44">
        <f>'Kalkulace a Porovnání'!N714</f>
        <v>0</v>
      </c>
      <c r="O714" s="44">
        <f>'Kalkulace a Porovnání'!O714</f>
        <v>0</v>
      </c>
      <c r="P714" s="44">
        <f>'Kalkulace a Porovnání'!P714</f>
        <v>0</v>
      </c>
      <c r="Q714" s="30">
        <f>'Kalkulace a Porovnání'!Q714</f>
        <v>0</v>
      </c>
      <c r="T714" s="12" t="s">
        <v>32</v>
      </c>
      <c r="U714" s="13" t="s">
        <v>383</v>
      </c>
      <c r="V714" s="3" t="s">
        <v>10</v>
      </c>
      <c r="W714" s="44">
        <f>'Kalkulace a Porovnání'!W714</f>
        <v>0</v>
      </c>
      <c r="X714" s="44">
        <f>'Kalkulace a Porovnání'!X714</f>
        <v>0</v>
      </c>
      <c r="Y714" s="44">
        <f>'Kalkulace a Porovnání'!Y714</f>
        <v>0</v>
      </c>
      <c r="Z714" s="44">
        <f>'Kalkulace a Porovnání'!Z714</f>
        <v>0</v>
      </c>
      <c r="AA714" s="44">
        <f>'Kalkulace a Porovnání'!AA714</f>
        <v>0</v>
      </c>
      <c r="AB714" s="30">
        <f>'Kalkulace a Porovnání'!AB714</f>
        <v>0</v>
      </c>
      <c r="AC714" s="146"/>
      <c r="AD714" s="428"/>
      <c r="AG714" s="428"/>
      <c r="AH714" s="428"/>
      <c r="AI714" s="252"/>
      <c r="AJ714" s="252"/>
      <c r="AK714" s="428"/>
      <c r="AL714" s="146"/>
    </row>
    <row r="715" spans="2:38" x14ac:dyDescent="0.25">
      <c r="B715" s="12" t="s">
        <v>33</v>
      </c>
      <c r="C715" s="13" t="s">
        <v>382</v>
      </c>
      <c r="D715" s="3" t="s">
        <v>10</v>
      </c>
      <c r="E715" s="44">
        <f>'Kalkulace a Porovnání'!E715</f>
        <v>0</v>
      </c>
      <c r="F715" s="44">
        <f>'Kalkulace a Porovnání'!F715</f>
        <v>0</v>
      </c>
      <c r="G715" s="44">
        <f>'Kalkulace a Porovnání'!G715</f>
        <v>0</v>
      </c>
      <c r="H715" s="30">
        <f>'Kalkulace a Porovnání'!H715</f>
        <v>0</v>
      </c>
      <c r="K715" s="12" t="s">
        <v>33</v>
      </c>
      <c r="L715" s="13" t="s">
        <v>382</v>
      </c>
      <c r="M715" s="3" t="s">
        <v>10</v>
      </c>
      <c r="N715" s="44">
        <f>'Kalkulace a Porovnání'!N715</f>
        <v>0</v>
      </c>
      <c r="O715" s="44">
        <f>'Kalkulace a Porovnání'!O715</f>
        <v>0</v>
      </c>
      <c r="P715" s="44">
        <f>'Kalkulace a Porovnání'!P715</f>
        <v>0</v>
      </c>
      <c r="Q715" s="30">
        <f>'Kalkulace a Porovnání'!Q715</f>
        <v>0</v>
      </c>
      <c r="T715" s="12" t="s">
        <v>33</v>
      </c>
      <c r="U715" s="13" t="s">
        <v>382</v>
      </c>
      <c r="V715" s="3" t="s">
        <v>10</v>
      </c>
      <c r="W715" s="44">
        <f>'Kalkulace a Porovnání'!W715</f>
        <v>0</v>
      </c>
      <c r="X715" s="44">
        <f>'Kalkulace a Porovnání'!X715</f>
        <v>0</v>
      </c>
      <c r="Y715" s="44">
        <f>'Kalkulace a Porovnání'!Y715</f>
        <v>0</v>
      </c>
      <c r="Z715" s="44">
        <f>'Kalkulace a Porovnání'!Z715</f>
        <v>0</v>
      </c>
      <c r="AA715" s="44">
        <f>'Kalkulace a Porovnání'!AA715</f>
        <v>0</v>
      </c>
      <c r="AB715" s="30">
        <f>'Kalkulace a Porovnání'!AB715</f>
        <v>0</v>
      </c>
      <c r="AC715" s="146"/>
      <c r="AD715" s="428"/>
      <c r="AG715" s="252"/>
      <c r="AH715" s="252"/>
      <c r="AI715" s="252"/>
      <c r="AJ715" s="252"/>
      <c r="AK715" s="428"/>
      <c r="AL715" s="146"/>
    </row>
    <row r="716" spans="2:38" x14ac:dyDescent="0.25">
      <c r="B716" s="12" t="s">
        <v>34</v>
      </c>
      <c r="C716" s="21" t="s">
        <v>384</v>
      </c>
      <c r="D716" s="3" t="s">
        <v>10</v>
      </c>
      <c r="E716" s="44">
        <f>'Kalkulace a Porovnání'!E716</f>
        <v>0</v>
      </c>
      <c r="F716" s="44">
        <f>'Kalkulace a Porovnání'!F716</f>
        <v>0</v>
      </c>
      <c r="G716" s="44">
        <f>'Kalkulace a Porovnání'!G716</f>
        <v>0</v>
      </c>
      <c r="H716" s="30">
        <f>'Kalkulace a Porovnání'!H716</f>
        <v>0</v>
      </c>
      <c r="K716" s="12" t="s">
        <v>34</v>
      </c>
      <c r="L716" s="21" t="s">
        <v>384</v>
      </c>
      <c r="M716" s="3" t="s">
        <v>10</v>
      </c>
      <c r="N716" s="44">
        <f>'Kalkulace a Porovnání'!N716</f>
        <v>0</v>
      </c>
      <c r="O716" s="44">
        <f>'Kalkulace a Porovnání'!O716</f>
        <v>0</v>
      </c>
      <c r="P716" s="44">
        <f>'Kalkulace a Porovnání'!P716</f>
        <v>0</v>
      </c>
      <c r="Q716" s="30">
        <f>'Kalkulace a Porovnání'!Q716</f>
        <v>0</v>
      </c>
      <c r="T716" s="12" t="s">
        <v>34</v>
      </c>
      <c r="U716" s="21" t="s">
        <v>384</v>
      </c>
      <c r="V716" s="3" t="s">
        <v>10</v>
      </c>
      <c r="W716" s="44">
        <f>'Kalkulace a Porovnání'!W716</f>
        <v>0</v>
      </c>
      <c r="X716" s="44">
        <f>'Kalkulace a Porovnání'!X716</f>
        <v>0</v>
      </c>
      <c r="Y716" s="44">
        <f>'Kalkulace a Porovnání'!Y716</f>
        <v>0</v>
      </c>
      <c r="Z716" s="44">
        <f>'Kalkulace a Porovnání'!Z716</f>
        <v>0</v>
      </c>
      <c r="AA716" s="44">
        <f>'Kalkulace a Porovnání'!AA716</f>
        <v>0</v>
      </c>
      <c r="AB716" s="30">
        <f>'Kalkulace a Porovnání'!AB716</f>
        <v>0</v>
      </c>
      <c r="AC716" s="146"/>
      <c r="AD716" s="428"/>
      <c r="AG716" s="252"/>
      <c r="AH716" s="252"/>
      <c r="AI716" s="252"/>
      <c r="AJ716" s="252"/>
      <c r="AK716" s="428"/>
      <c r="AL716" s="146"/>
    </row>
    <row r="717" spans="2:38" x14ac:dyDescent="0.25">
      <c r="B717" s="9" t="s">
        <v>35</v>
      </c>
      <c r="C717" s="10" t="s">
        <v>387</v>
      </c>
      <c r="D717" s="11" t="s">
        <v>10</v>
      </c>
      <c r="E717" s="41">
        <f>'Kalkulace a Porovnání'!E717</f>
        <v>0</v>
      </c>
      <c r="F717" s="41">
        <f>'Kalkulace a Porovnání'!F717</f>
        <v>0</v>
      </c>
      <c r="G717" s="41">
        <f>'Kalkulace a Porovnání'!G717</f>
        <v>0</v>
      </c>
      <c r="H717" s="86">
        <f>'Kalkulace a Porovnání'!H717</f>
        <v>0</v>
      </c>
      <c r="K717" s="9" t="s">
        <v>35</v>
      </c>
      <c r="L717" s="10" t="s">
        <v>387</v>
      </c>
      <c r="M717" s="11" t="s">
        <v>10</v>
      </c>
      <c r="N717" s="41">
        <f>'Kalkulace a Porovnání'!N717</f>
        <v>0</v>
      </c>
      <c r="O717" s="41">
        <f>'Kalkulace a Porovnání'!O717</f>
        <v>0</v>
      </c>
      <c r="P717" s="41">
        <f>'Kalkulace a Porovnání'!P717</f>
        <v>0</v>
      </c>
      <c r="Q717" s="86">
        <f>'Kalkulace a Porovnání'!Q717</f>
        <v>0</v>
      </c>
      <c r="T717" s="9" t="s">
        <v>35</v>
      </c>
      <c r="U717" s="10" t="s">
        <v>387</v>
      </c>
      <c r="V717" s="11" t="s">
        <v>10</v>
      </c>
      <c r="W717" s="41">
        <f>'Kalkulace a Porovnání'!W717</f>
        <v>0</v>
      </c>
      <c r="X717" s="41">
        <f>'Kalkulace a Porovnání'!X717</f>
        <v>0</v>
      </c>
      <c r="Y717" s="41">
        <f>'Kalkulace a Porovnání'!Y717</f>
        <v>0</v>
      </c>
      <c r="Z717" s="41">
        <f>'Kalkulace a Porovnání'!Z717</f>
        <v>0</v>
      </c>
      <c r="AA717" s="41">
        <f>'Kalkulace a Porovnání'!AA717</f>
        <v>0</v>
      </c>
      <c r="AB717" s="86">
        <f>'Kalkulace a Porovnání'!AB717</f>
        <v>0</v>
      </c>
      <c r="AC717" s="146"/>
      <c r="AD717" s="428"/>
      <c r="AG717" s="429"/>
      <c r="AH717" s="429"/>
      <c r="AI717" s="252"/>
      <c r="AJ717" s="252"/>
      <c r="AK717" s="428"/>
      <c r="AL717" s="146"/>
    </row>
    <row r="718" spans="2:38" x14ac:dyDescent="0.25">
      <c r="B718" s="12" t="s">
        <v>37</v>
      </c>
      <c r="C718" s="13" t="s">
        <v>38</v>
      </c>
      <c r="D718" s="3" t="s">
        <v>10</v>
      </c>
      <c r="E718" s="44">
        <f>'Kalkulace a Porovnání'!E718</f>
        <v>0</v>
      </c>
      <c r="F718" s="44">
        <f>'Kalkulace a Porovnání'!F718</f>
        <v>0</v>
      </c>
      <c r="G718" s="44">
        <f>'Kalkulace a Porovnání'!G718</f>
        <v>0</v>
      </c>
      <c r="H718" s="30">
        <f>'Kalkulace a Porovnání'!H718</f>
        <v>0</v>
      </c>
      <c r="K718" s="12" t="s">
        <v>37</v>
      </c>
      <c r="L718" s="13" t="s">
        <v>38</v>
      </c>
      <c r="M718" s="3" t="s">
        <v>10</v>
      </c>
      <c r="N718" s="44">
        <f>'Kalkulace a Porovnání'!N718</f>
        <v>0</v>
      </c>
      <c r="O718" s="44">
        <f>'Kalkulace a Porovnání'!O718</f>
        <v>0</v>
      </c>
      <c r="P718" s="44">
        <f>'Kalkulace a Porovnání'!P718</f>
        <v>0</v>
      </c>
      <c r="Q718" s="30">
        <f>'Kalkulace a Porovnání'!Q718</f>
        <v>0</v>
      </c>
      <c r="T718" s="12" t="s">
        <v>37</v>
      </c>
      <c r="U718" s="13" t="s">
        <v>38</v>
      </c>
      <c r="V718" s="3" t="s">
        <v>10</v>
      </c>
      <c r="W718" s="44">
        <f>'Kalkulace a Porovnání'!W718</f>
        <v>0</v>
      </c>
      <c r="X718" s="44">
        <f>'Kalkulace a Porovnání'!X718</f>
        <v>0</v>
      </c>
      <c r="Y718" s="44">
        <f>'Kalkulace a Porovnání'!Y718</f>
        <v>0</v>
      </c>
      <c r="Z718" s="44">
        <f>'Kalkulace a Porovnání'!Z718</f>
        <v>0</v>
      </c>
      <c r="AA718" s="44">
        <f>'Kalkulace a Porovnání'!AA718</f>
        <v>0</v>
      </c>
      <c r="AB718" s="30">
        <f>'Kalkulace a Porovnání'!AB718</f>
        <v>0</v>
      </c>
      <c r="AC718" s="146"/>
      <c r="AD718" s="428"/>
      <c r="AG718" s="1119"/>
      <c r="AH718" s="1119"/>
      <c r="AI718" s="252"/>
      <c r="AJ718" s="252"/>
      <c r="AK718" s="428"/>
      <c r="AL718" s="146"/>
    </row>
    <row r="719" spans="2:38" x14ac:dyDescent="0.25">
      <c r="B719" s="12" t="s">
        <v>39</v>
      </c>
      <c r="C719" s="12" t="s">
        <v>40</v>
      </c>
      <c r="D719" s="3" t="s">
        <v>10</v>
      </c>
      <c r="E719" s="44">
        <f>'Kalkulace a Porovnání'!E719</f>
        <v>0</v>
      </c>
      <c r="F719" s="44">
        <f>'Kalkulace a Porovnání'!F719</f>
        <v>0</v>
      </c>
      <c r="G719" s="44">
        <f>'Kalkulace a Porovnání'!G719</f>
        <v>0</v>
      </c>
      <c r="H719" s="30">
        <f>'Kalkulace a Porovnání'!H719</f>
        <v>0</v>
      </c>
      <c r="K719" s="12" t="s">
        <v>39</v>
      </c>
      <c r="L719" s="12" t="s">
        <v>40</v>
      </c>
      <c r="M719" s="3" t="s">
        <v>10</v>
      </c>
      <c r="N719" s="44">
        <f>'Kalkulace a Porovnání'!N719</f>
        <v>0</v>
      </c>
      <c r="O719" s="44">
        <f>'Kalkulace a Porovnání'!O719</f>
        <v>0</v>
      </c>
      <c r="P719" s="44">
        <f>'Kalkulace a Porovnání'!P719</f>
        <v>0</v>
      </c>
      <c r="Q719" s="30">
        <f>'Kalkulace a Porovnání'!Q719</f>
        <v>0</v>
      </c>
      <c r="T719" s="12" t="s">
        <v>39</v>
      </c>
      <c r="U719" s="12" t="s">
        <v>40</v>
      </c>
      <c r="V719" s="3" t="s">
        <v>10</v>
      </c>
      <c r="W719" s="44">
        <f>'Kalkulace a Porovnání'!W719</f>
        <v>0</v>
      </c>
      <c r="X719" s="44">
        <f>'Kalkulace a Porovnání'!X719</f>
        <v>0</v>
      </c>
      <c r="Y719" s="44">
        <f>'Kalkulace a Porovnání'!Y719</f>
        <v>0</v>
      </c>
      <c r="Z719" s="44">
        <f>'Kalkulace a Porovnání'!Z719</f>
        <v>0</v>
      </c>
      <c r="AA719" s="44">
        <f>'Kalkulace a Porovnání'!AA719</f>
        <v>0</v>
      </c>
      <c r="AB719" s="30">
        <f>'Kalkulace a Porovnání'!AB719</f>
        <v>0</v>
      </c>
      <c r="AC719" s="146"/>
      <c r="AD719" s="428"/>
      <c r="AG719" s="1119"/>
      <c r="AH719" s="1119"/>
      <c r="AI719" s="252"/>
      <c r="AJ719" s="252"/>
      <c r="AK719" s="428"/>
      <c r="AL719" s="146"/>
    </row>
    <row r="720" spans="2:38" x14ac:dyDescent="0.25">
      <c r="B720" s="12" t="s">
        <v>41</v>
      </c>
      <c r="C720" s="13" t="s">
        <v>42</v>
      </c>
      <c r="D720" s="3" t="s">
        <v>10</v>
      </c>
      <c r="E720" s="44">
        <f>'Kalkulace a Porovnání'!E720</f>
        <v>0</v>
      </c>
      <c r="F720" s="44">
        <f>'Kalkulace a Porovnání'!F720</f>
        <v>0</v>
      </c>
      <c r="G720" s="44">
        <f>'Kalkulace a Porovnání'!G720</f>
        <v>0</v>
      </c>
      <c r="H720" s="30">
        <f>'Kalkulace a Porovnání'!H720</f>
        <v>0</v>
      </c>
      <c r="K720" s="12" t="s">
        <v>41</v>
      </c>
      <c r="L720" s="13" t="s">
        <v>42</v>
      </c>
      <c r="M720" s="3" t="s">
        <v>10</v>
      </c>
      <c r="N720" s="44">
        <f>'Kalkulace a Porovnání'!N720</f>
        <v>0</v>
      </c>
      <c r="O720" s="44">
        <f>'Kalkulace a Porovnání'!O720</f>
        <v>0</v>
      </c>
      <c r="P720" s="44">
        <f>'Kalkulace a Porovnání'!P720</f>
        <v>0</v>
      </c>
      <c r="Q720" s="30">
        <f>'Kalkulace a Porovnání'!Q720</f>
        <v>0</v>
      </c>
      <c r="T720" s="12" t="s">
        <v>41</v>
      </c>
      <c r="U720" s="13" t="s">
        <v>42</v>
      </c>
      <c r="V720" s="3" t="s">
        <v>10</v>
      </c>
      <c r="W720" s="44">
        <f>'Kalkulace a Porovnání'!W720</f>
        <v>0</v>
      </c>
      <c r="X720" s="44">
        <f>'Kalkulace a Porovnání'!X720</f>
        <v>0</v>
      </c>
      <c r="Y720" s="44">
        <f>'Kalkulace a Porovnání'!Y720</f>
        <v>0</v>
      </c>
      <c r="Z720" s="44">
        <f>'Kalkulace a Porovnání'!Z720</f>
        <v>0</v>
      </c>
      <c r="AA720" s="44">
        <f>'Kalkulace a Porovnání'!AA720</f>
        <v>0</v>
      </c>
      <c r="AB720" s="30">
        <f>'Kalkulace a Porovnání'!AB720</f>
        <v>0</v>
      </c>
      <c r="AC720" s="146"/>
      <c r="AD720" s="428"/>
      <c r="AG720" s="426"/>
      <c r="AH720" s="426"/>
      <c r="AI720" s="252"/>
      <c r="AJ720" s="252"/>
      <c r="AK720" s="428"/>
      <c r="AL720" s="146"/>
    </row>
    <row r="721" spans="2:38" x14ac:dyDescent="0.25">
      <c r="B721" s="9" t="s">
        <v>43</v>
      </c>
      <c r="C721" s="10" t="s">
        <v>44</v>
      </c>
      <c r="D721" s="11" t="s">
        <v>10</v>
      </c>
      <c r="E721" s="44">
        <f>'Kalkulace a Porovnání'!E721</f>
        <v>0</v>
      </c>
      <c r="F721" s="44">
        <f>'Kalkulace a Porovnání'!F721</f>
        <v>0</v>
      </c>
      <c r="G721" s="44">
        <f>'Kalkulace a Porovnání'!G721</f>
        <v>0</v>
      </c>
      <c r="H721" s="30">
        <f>'Kalkulace a Porovnání'!H721</f>
        <v>0</v>
      </c>
      <c r="K721" s="9" t="s">
        <v>43</v>
      </c>
      <c r="L721" s="10" t="s">
        <v>44</v>
      </c>
      <c r="M721" s="11" t="s">
        <v>10</v>
      </c>
      <c r="N721" s="44">
        <f>'Kalkulace a Porovnání'!N721</f>
        <v>0</v>
      </c>
      <c r="O721" s="44">
        <f>'Kalkulace a Porovnání'!O721</f>
        <v>0</v>
      </c>
      <c r="P721" s="44">
        <f>'Kalkulace a Porovnání'!P721</f>
        <v>0</v>
      </c>
      <c r="Q721" s="30">
        <f>'Kalkulace a Porovnání'!Q721</f>
        <v>0</v>
      </c>
      <c r="T721" s="9" t="s">
        <v>43</v>
      </c>
      <c r="U721" s="10" t="s">
        <v>44</v>
      </c>
      <c r="V721" s="11" t="s">
        <v>10</v>
      </c>
      <c r="W721" s="44">
        <f>'Kalkulace a Porovnání'!W721</f>
        <v>0</v>
      </c>
      <c r="X721" s="44">
        <f>'Kalkulace a Porovnání'!X721</f>
        <v>0</v>
      </c>
      <c r="Y721" s="44">
        <f>'Kalkulace a Porovnání'!Y721</f>
        <v>0</v>
      </c>
      <c r="Z721" s="44">
        <f>'Kalkulace a Porovnání'!Z721</f>
        <v>0</v>
      </c>
      <c r="AA721" s="44">
        <f>'Kalkulace a Porovnání'!AA721</f>
        <v>0</v>
      </c>
      <c r="AB721" s="30">
        <f>'Kalkulace a Porovnání'!AB721</f>
        <v>0</v>
      </c>
      <c r="AC721" s="146"/>
      <c r="AD721" s="428"/>
      <c r="AG721" s="147"/>
      <c r="AH721" s="147"/>
      <c r="AI721" s="252"/>
      <c r="AJ721" s="252"/>
      <c r="AK721" s="428"/>
      <c r="AL721" s="146"/>
    </row>
    <row r="722" spans="2:38" x14ac:dyDescent="0.25">
      <c r="B722" s="9" t="s">
        <v>45</v>
      </c>
      <c r="C722" s="10" t="s">
        <v>388</v>
      </c>
      <c r="D722" s="11" t="s">
        <v>10</v>
      </c>
      <c r="E722" s="44">
        <f>'Kalkulace a Porovnání'!E722</f>
        <v>0</v>
      </c>
      <c r="F722" s="44">
        <f>'Kalkulace a Porovnání'!F722</f>
        <v>0</v>
      </c>
      <c r="G722" s="44">
        <f>'Kalkulace a Porovnání'!G722</f>
        <v>0</v>
      </c>
      <c r="H722" s="30">
        <f>'Kalkulace a Porovnání'!H722</f>
        <v>0</v>
      </c>
      <c r="K722" s="9" t="s">
        <v>45</v>
      </c>
      <c r="L722" s="10" t="s">
        <v>388</v>
      </c>
      <c r="M722" s="11" t="s">
        <v>10</v>
      </c>
      <c r="N722" s="44">
        <f>'Kalkulace a Porovnání'!N722</f>
        <v>0</v>
      </c>
      <c r="O722" s="44">
        <f>'Kalkulace a Porovnání'!O722</f>
        <v>0</v>
      </c>
      <c r="P722" s="44">
        <f>'Kalkulace a Porovnání'!P722</f>
        <v>0</v>
      </c>
      <c r="Q722" s="30">
        <f>'Kalkulace a Porovnání'!Q722</f>
        <v>0</v>
      </c>
      <c r="T722" s="9" t="s">
        <v>45</v>
      </c>
      <c r="U722" s="10" t="s">
        <v>388</v>
      </c>
      <c r="V722" s="11" t="s">
        <v>10</v>
      </c>
      <c r="W722" s="44">
        <f>'Kalkulace a Porovnání'!W722</f>
        <v>0</v>
      </c>
      <c r="X722" s="44">
        <f>'Kalkulace a Porovnání'!X722</f>
        <v>0</v>
      </c>
      <c r="Y722" s="44">
        <f>'Kalkulace a Porovnání'!Y722</f>
        <v>0</v>
      </c>
      <c r="Z722" s="44">
        <f>'Kalkulace a Porovnání'!Z722</f>
        <v>0</v>
      </c>
      <c r="AA722" s="44">
        <f>'Kalkulace a Porovnání'!AA722</f>
        <v>0</v>
      </c>
      <c r="AB722" s="30">
        <f>'Kalkulace a Porovnání'!AB722</f>
        <v>0</v>
      </c>
      <c r="AC722" s="146"/>
      <c r="AD722" s="428"/>
      <c r="AG722" s="147"/>
      <c r="AH722" s="147"/>
      <c r="AI722" s="252"/>
      <c r="AJ722" s="252"/>
      <c r="AK722" s="428"/>
      <c r="AL722" s="146"/>
    </row>
    <row r="723" spans="2:38" x14ac:dyDescent="0.25">
      <c r="B723" s="9" t="s">
        <v>46</v>
      </c>
      <c r="C723" s="10" t="s">
        <v>47</v>
      </c>
      <c r="D723" s="11" t="s">
        <v>10</v>
      </c>
      <c r="E723" s="44">
        <f>'Kalkulace a Porovnání'!E723</f>
        <v>0</v>
      </c>
      <c r="F723" s="44">
        <f>'Kalkulace a Porovnání'!F723</f>
        <v>0</v>
      </c>
      <c r="G723" s="44">
        <f>'Kalkulace a Porovnání'!G723</f>
        <v>0</v>
      </c>
      <c r="H723" s="30">
        <f>'Kalkulace a Porovnání'!H723</f>
        <v>0</v>
      </c>
      <c r="K723" s="9" t="s">
        <v>46</v>
      </c>
      <c r="L723" s="10" t="s">
        <v>47</v>
      </c>
      <c r="M723" s="11" t="s">
        <v>10</v>
      </c>
      <c r="N723" s="44">
        <f>'Kalkulace a Porovnání'!N723</f>
        <v>0</v>
      </c>
      <c r="O723" s="44">
        <f>'Kalkulace a Porovnání'!O723</f>
        <v>0</v>
      </c>
      <c r="P723" s="44">
        <f>'Kalkulace a Porovnání'!P723</f>
        <v>0</v>
      </c>
      <c r="Q723" s="30">
        <f>'Kalkulace a Porovnání'!Q723</f>
        <v>0</v>
      </c>
      <c r="T723" s="9" t="s">
        <v>46</v>
      </c>
      <c r="U723" s="10" t="s">
        <v>47</v>
      </c>
      <c r="V723" s="11" t="s">
        <v>10</v>
      </c>
      <c r="W723" s="44">
        <f>'Kalkulace a Porovnání'!W723</f>
        <v>0</v>
      </c>
      <c r="X723" s="44">
        <f>'Kalkulace a Porovnání'!X723</f>
        <v>0</v>
      </c>
      <c r="Y723" s="44">
        <f>'Kalkulace a Porovnání'!Y723</f>
        <v>0</v>
      </c>
      <c r="Z723" s="44">
        <f>'Kalkulace a Porovnání'!Z723</f>
        <v>0</v>
      </c>
      <c r="AA723" s="44">
        <f>'Kalkulace a Porovnání'!AA723</f>
        <v>0</v>
      </c>
      <c r="AB723" s="30">
        <f>'Kalkulace a Porovnání'!AB723</f>
        <v>0</v>
      </c>
      <c r="AC723" s="146"/>
      <c r="AD723" s="428"/>
      <c r="AG723" s="147"/>
      <c r="AH723" s="147"/>
      <c r="AI723" s="252"/>
      <c r="AJ723" s="252"/>
      <c r="AK723" s="428"/>
      <c r="AL723" s="146"/>
    </row>
    <row r="724" spans="2:38" x14ac:dyDescent="0.25">
      <c r="B724" s="9" t="s">
        <v>48</v>
      </c>
      <c r="C724" s="10" t="s">
        <v>49</v>
      </c>
      <c r="D724" s="11" t="s">
        <v>10</v>
      </c>
      <c r="E724" s="44">
        <f>'Kalkulace a Porovnání'!E724</f>
        <v>0</v>
      </c>
      <c r="F724" s="44">
        <f>'Kalkulace a Porovnání'!F724</f>
        <v>0</v>
      </c>
      <c r="G724" s="44">
        <f>'Kalkulace a Porovnání'!G724</f>
        <v>0</v>
      </c>
      <c r="H724" s="30">
        <f>'Kalkulace a Porovnání'!H724</f>
        <v>0</v>
      </c>
      <c r="K724" s="9" t="s">
        <v>48</v>
      </c>
      <c r="L724" s="10" t="s">
        <v>49</v>
      </c>
      <c r="M724" s="11" t="s">
        <v>10</v>
      </c>
      <c r="N724" s="44">
        <f>'Kalkulace a Porovnání'!N724</f>
        <v>0</v>
      </c>
      <c r="O724" s="44">
        <f>'Kalkulace a Porovnání'!O724</f>
        <v>0</v>
      </c>
      <c r="P724" s="44">
        <f>'Kalkulace a Porovnání'!P724</f>
        <v>0</v>
      </c>
      <c r="Q724" s="30">
        <f>'Kalkulace a Porovnání'!Q724</f>
        <v>0</v>
      </c>
      <c r="T724" s="9" t="s">
        <v>48</v>
      </c>
      <c r="U724" s="10" t="s">
        <v>49</v>
      </c>
      <c r="V724" s="11" t="s">
        <v>10</v>
      </c>
      <c r="W724" s="44">
        <f>'Kalkulace a Porovnání'!W724</f>
        <v>0</v>
      </c>
      <c r="X724" s="44">
        <f>'Kalkulace a Porovnání'!X724</f>
        <v>0</v>
      </c>
      <c r="Y724" s="44">
        <f>'Kalkulace a Porovnání'!Y724</f>
        <v>0</v>
      </c>
      <c r="Z724" s="44">
        <f>'Kalkulace a Porovnání'!Z724</f>
        <v>0</v>
      </c>
      <c r="AA724" s="44">
        <f>'Kalkulace a Porovnání'!AA724</f>
        <v>0</v>
      </c>
      <c r="AB724" s="30">
        <f>'Kalkulace a Porovnání'!AB724</f>
        <v>0</v>
      </c>
      <c r="AC724" s="146"/>
      <c r="AD724" s="428"/>
      <c r="AG724" s="147"/>
      <c r="AH724" s="147"/>
      <c r="AI724" s="252"/>
      <c r="AJ724" s="252"/>
      <c r="AK724" s="428"/>
      <c r="AL724" s="146"/>
    </row>
    <row r="725" spans="2:38" x14ac:dyDescent="0.25">
      <c r="B725" s="12" t="s">
        <v>386</v>
      </c>
      <c r="C725" s="13" t="s">
        <v>385</v>
      </c>
      <c r="D725" s="3" t="s">
        <v>10</v>
      </c>
      <c r="E725" s="44">
        <f>'Kalkulace a Porovnání'!E725</f>
        <v>0</v>
      </c>
      <c r="F725" s="44">
        <f>'Kalkulace a Porovnání'!F725</f>
        <v>0.02</v>
      </c>
      <c r="G725" s="44">
        <f>'Kalkulace a Porovnání'!G725</f>
        <v>0</v>
      </c>
      <c r="H725" s="30">
        <f>'Kalkulace a Porovnání'!H725</f>
        <v>0.02</v>
      </c>
      <c r="K725" s="12" t="s">
        <v>386</v>
      </c>
      <c r="L725" s="13" t="s">
        <v>385</v>
      </c>
      <c r="M725" s="3" t="s">
        <v>10</v>
      </c>
      <c r="N725" s="44">
        <f>'Kalkulace a Porovnání'!N725</f>
        <v>0</v>
      </c>
      <c r="O725" s="44">
        <f>'Kalkulace a Porovnání'!O725</f>
        <v>0</v>
      </c>
      <c r="P725" s="44">
        <f>'Kalkulace a Porovnání'!P725</f>
        <v>0</v>
      </c>
      <c r="Q725" s="30">
        <f>'Kalkulace a Porovnání'!Q725</f>
        <v>0</v>
      </c>
      <c r="T725" s="12" t="s">
        <v>386</v>
      </c>
      <c r="U725" s="13" t="s">
        <v>385</v>
      </c>
      <c r="V725" s="3" t="s">
        <v>10</v>
      </c>
      <c r="W725" s="44">
        <f>'Kalkulace a Porovnání'!W725</f>
        <v>0</v>
      </c>
      <c r="X725" s="44">
        <f>'Kalkulace a Porovnání'!X725</f>
        <v>0</v>
      </c>
      <c r="Y725" s="44">
        <f>'Kalkulace a Porovnání'!Y725</f>
        <v>0</v>
      </c>
      <c r="Z725" s="44">
        <f>'Kalkulace a Porovnání'!Z725</f>
        <v>0</v>
      </c>
      <c r="AA725" s="44">
        <f>'Kalkulace a Porovnání'!AA725</f>
        <v>0</v>
      </c>
      <c r="AB725" s="30">
        <f>'Kalkulace a Porovnání'!AB725</f>
        <v>0</v>
      </c>
      <c r="AC725" s="146"/>
      <c r="AD725" s="428"/>
      <c r="AG725" s="147"/>
      <c r="AH725" s="147"/>
      <c r="AI725" s="252"/>
      <c r="AJ725" s="252"/>
      <c r="AK725" s="428"/>
      <c r="AL725" s="146"/>
    </row>
    <row r="726" spans="2:38" x14ac:dyDescent="0.25">
      <c r="B726" s="9" t="s">
        <v>50</v>
      </c>
      <c r="C726" s="10" t="s">
        <v>391</v>
      </c>
      <c r="D726" s="11" t="s">
        <v>10</v>
      </c>
      <c r="E726" s="41">
        <f>'Kalkulace a Porovnání'!E726</f>
        <v>0</v>
      </c>
      <c r="F726" s="41">
        <f>'Kalkulace a Porovnání'!F726</f>
        <v>0</v>
      </c>
      <c r="G726" s="41">
        <f>'Kalkulace a Porovnání'!G726</f>
        <v>0</v>
      </c>
      <c r="H726" s="86">
        <f>'Kalkulace a Porovnání'!H726</f>
        <v>0</v>
      </c>
      <c r="K726" s="9" t="s">
        <v>50</v>
      </c>
      <c r="L726" s="10" t="s">
        <v>391</v>
      </c>
      <c r="M726" s="11" t="s">
        <v>10</v>
      </c>
      <c r="N726" s="41">
        <f>'Kalkulace a Porovnání'!N726</f>
        <v>0</v>
      </c>
      <c r="O726" s="41">
        <f>'Kalkulace a Porovnání'!O726</f>
        <v>0</v>
      </c>
      <c r="P726" s="41">
        <f>'Kalkulace a Porovnání'!P726</f>
        <v>0</v>
      </c>
      <c r="Q726" s="86">
        <f>'Kalkulace a Porovnání'!Q726</f>
        <v>0</v>
      </c>
      <c r="T726" s="9" t="s">
        <v>50</v>
      </c>
      <c r="U726" s="10" t="s">
        <v>391</v>
      </c>
      <c r="V726" s="11" t="s">
        <v>10</v>
      </c>
      <c r="W726" s="41">
        <f>'Kalkulace a Porovnání'!W726</f>
        <v>0</v>
      </c>
      <c r="X726" s="41">
        <f>'Kalkulace a Porovnání'!X726</f>
        <v>0</v>
      </c>
      <c r="Y726" s="41">
        <f>'Kalkulace a Porovnání'!Y726</f>
        <v>0</v>
      </c>
      <c r="Z726" s="41">
        <f>'Kalkulace a Porovnání'!Z726</f>
        <v>0</v>
      </c>
      <c r="AA726" s="41">
        <f>'Kalkulace a Porovnání'!AA726</f>
        <v>0</v>
      </c>
      <c r="AB726" s="86">
        <f>'Kalkulace a Porovnání'!AB726</f>
        <v>0</v>
      </c>
      <c r="AC726" s="146"/>
      <c r="AD726" s="428"/>
      <c r="AG726" s="147"/>
      <c r="AH726" s="147"/>
      <c r="AI726" s="252"/>
      <c r="AJ726" s="252"/>
      <c r="AK726" s="428"/>
      <c r="AL726" s="146"/>
    </row>
    <row r="727" spans="2:38" x14ac:dyDescent="0.25">
      <c r="B727" s="12" t="s">
        <v>389</v>
      </c>
      <c r="C727" s="13" t="s">
        <v>96</v>
      </c>
      <c r="D727" s="3" t="s">
        <v>10</v>
      </c>
      <c r="E727" s="329">
        <f>'Kalkulace a Porovnání'!E727</f>
        <v>0</v>
      </c>
      <c r="F727" s="329">
        <f>'Kalkulace a Porovnání'!F727</f>
        <v>0</v>
      </c>
      <c r="G727" s="329">
        <f>'Kalkulace a Porovnání'!G727</f>
        <v>0</v>
      </c>
      <c r="H727" s="330">
        <f>'Kalkulace a Porovnání'!H727</f>
        <v>0</v>
      </c>
      <c r="K727" s="12" t="s">
        <v>389</v>
      </c>
      <c r="L727" s="13" t="s">
        <v>96</v>
      </c>
      <c r="M727" s="3" t="s">
        <v>10</v>
      </c>
      <c r="N727" s="329">
        <f>'Kalkulace a Porovnání'!N727</f>
        <v>0</v>
      </c>
      <c r="O727" s="329">
        <f>'Kalkulace a Porovnání'!O727</f>
        <v>0</v>
      </c>
      <c r="P727" s="329">
        <f>'Kalkulace a Porovnání'!P727</f>
        <v>0</v>
      </c>
      <c r="Q727" s="330">
        <f>'Kalkulace a Porovnání'!Q727</f>
        <v>0</v>
      </c>
      <c r="T727" s="12" t="s">
        <v>389</v>
      </c>
      <c r="U727" s="13" t="s">
        <v>96</v>
      </c>
      <c r="V727" s="3" t="s">
        <v>10</v>
      </c>
      <c r="W727" s="329">
        <f>'Kalkulace a Porovnání'!W727</f>
        <v>0</v>
      </c>
      <c r="X727" s="329">
        <f>'Kalkulace a Porovnání'!X727</f>
        <v>0</v>
      </c>
      <c r="Y727" s="329">
        <f>'Kalkulace a Porovnání'!Y727</f>
        <v>0</v>
      </c>
      <c r="Z727" s="329">
        <f>'Kalkulace a Porovnání'!Z727</f>
        <v>0</v>
      </c>
      <c r="AA727" s="329">
        <f>'Kalkulace a Porovnání'!AA727</f>
        <v>0</v>
      </c>
      <c r="AB727" s="330">
        <f>'Kalkulace a Porovnání'!AB727</f>
        <v>0</v>
      </c>
      <c r="AC727" s="146"/>
      <c r="AD727" s="428"/>
      <c r="AG727" s="1120"/>
      <c r="AH727" s="1120"/>
      <c r="AI727" s="252"/>
      <c r="AJ727" s="252"/>
      <c r="AK727" s="428"/>
      <c r="AL727" s="146"/>
    </row>
    <row r="728" spans="2:38" x14ac:dyDescent="0.25">
      <c r="B728" s="12" t="s">
        <v>389</v>
      </c>
      <c r="C728" s="13" t="s">
        <v>97</v>
      </c>
      <c r="D728" s="3" t="s">
        <v>10</v>
      </c>
      <c r="E728" s="329">
        <f>'Kalkulace a Porovnání'!E728</f>
        <v>0</v>
      </c>
      <c r="F728" s="329">
        <f>'Kalkulace a Porovnání'!F728</f>
        <v>0</v>
      </c>
      <c r="G728" s="329">
        <f>'Kalkulace a Porovnání'!G728</f>
        <v>0</v>
      </c>
      <c r="H728" s="330">
        <f>'Kalkulace a Porovnání'!H728</f>
        <v>0</v>
      </c>
      <c r="K728" s="12" t="s">
        <v>389</v>
      </c>
      <c r="L728" s="13" t="s">
        <v>97</v>
      </c>
      <c r="M728" s="3" t="s">
        <v>10</v>
      </c>
      <c r="N728" s="329">
        <f>'Kalkulace a Porovnání'!N728</f>
        <v>0</v>
      </c>
      <c r="O728" s="329">
        <f>'Kalkulace a Porovnání'!O728</f>
        <v>0</v>
      </c>
      <c r="P728" s="329">
        <f>'Kalkulace a Porovnání'!P728</f>
        <v>0</v>
      </c>
      <c r="Q728" s="330">
        <f>'Kalkulace a Porovnání'!Q728</f>
        <v>0</v>
      </c>
      <c r="T728" s="12" t="s">
        <v>389</v>
      </c>
      <c r="U728" s="13" t="s">
        <v>97</v>
      </c>
      <c r="V728" s="3" t="s">
        <v>10</v>
      </c>
      <c r="W728" s="329">
        <f>'Kalkulace a Porovnání'!W728</f>
        <v>0</v>
      </c>
      <c r="X728" s="329">
        <f>'Kalkulace a Porovnání'!X728</f>
        <v>0</v>
      </c>
      <c r="Y728" s="329">
        <f>'Kalkulace a Porovnání'!Y728</f>
        <v>0</v>
      </c>
      <c r="Z728" s="329">
        <f>'Kalkulace a Porovnání'!Z728</f>
        <v>0</v>
      </c>
      <c r="AA728" s="329">
        <f>'Kalkulace a Porovnání'!AA728</f>
        <v>0</v>
      </c>
      <c r="AB728" s="330">
        <f>'Kalkulace a Porovnání'!AB728</f>
        <v>0</v>
      </c>
      <c r="AC728" s="146"/>
      <c r="AD728" s="428"/>
      <c r="AG728" s="1120"/>
      <c r="AH728" s="1120"/>
      <c r="AI728" s="252"/>
      <c r="AJ728" s="252"/>
      <c r="AK728" s="428"/>
      <c r="AL728" s="146"/>
    </row>
    <row r="729" spans="2:38" x14ac:dyDescent="0.25">
      <c r="B729" s="12" t="s">
        <v>51</v>
      </c>
      <c r="C729" s="13" t="s">
        <v>54</v>
      </c>
      <c r="D729" s="3" t="s">
        <v>55</v>
      </c>
      <c r="E729" s="331">
        <f>'Kalkulace a Porovnání'!E729</f>
        <v>0</v>
      </c>
      <c r="F729" s="331">
        <f>'Kalkulace a Porovnání'!F729</f>
        <v>0</v>
      </c>
      <c r="G729" s="331">
        <f>'Kalkulace a Porovnání'!G729</f>
        <v>0</v>
      </c>
      <c r="H729" s="332">
        <f>'Kalkulace a Porovnání'!H729</f>
        <v>0</v>
      </c>
      <c r="K729" s="12" t="s">
        <v>51</v>
      </c>
      <c r="L729" s="13" t="s">
        <v>54</v>
      </c>
      <c r="M729" s="3" t="s">
        <v>55</v>
      </c>
      <c r="N729" s="331">
        <f>'Kalkulace a Porovnání'!N729</f>
        <v>0</v>
      </c>
      <c r="O729" s="331">
        <f>'Kalkulace a Porovnání'!O729</f>
        <v>0</v>
      </c>
      <c r="P729" s="331">
        <f>'Kalkulace a Porovnání'!P729</f>
        <v>0</v>
      </c>
      <c r="Q729" s="332">
        <f>'Kalkulace a Porovnání'!Q729</f>
        <v>0</v>
      </c>
      <c r="T729" s="12" t="s">
        <v>51</v>
      </c>
      <c r="U729" s="13" t="s">
        <v>54</v>
      </c>
      <c r="V729" s="3" t="s">
        <v>55</v>
      </c>
      <c r="W729" s="331">
        <f>'Kalkulace a Porovnání'!W729</f>
        <v>0</v>
      </c>
      <c r="X729" s="331">
        <f>'Kalkulace a Porovnání'!X729</f>
        <v>0</v>
      </c>
      <c r="Y729" s="331">
        <f>'Kalkulace a Porovnání'!Y729</f>
        <v>0</v>
      </c>
      <c r="Z729" s="331">
        <f>'Kalkulace a Porovnání'!Z729</f>
        <v>0</v>
      </c>
      <c r="AA729" s="331">
        <f>'Kalkulace a Porovnání'!AA729</f>
        <v>0</v>
      </c>
      <c r="AB729" s="332">
        <f>'Kalkulace a Porovnání'!AB729</f>
        <v>0</v>
      </c>
      <c r="AC729" s="146"/>
      <c r="AD729" s="428"/>
      <c r="AG729" s="1119"/>
      <c r="AH729" s="1119"/>
      <c r="AI729" s="252"/>
      <c r="AJ729" s="252"/>
      <c r="AK729" s="428"/>
      <c r="AL729" s="146"/>
    </row>
    <row r="730" spans="2:38" x14ac:dyDescent="0.25">
      <c r="B730" s="12" t="s">
        <v>52</v>
      </c>
      <c r="C730" s="13" t="s">
        <v>57</v>
      </c>
      <c r="D730" s="3" t="s">
        <v>58</v>
      </c>
      <c r="E730" s="44">
        <f>'Kalkulace a Porovnání'!E730</f>
        <v>0</v>
      </c>
      <c r="F730" s="44">
        <f>'Kalkulace a Porovnání'!F730</f>
        <v>0</v>
      </c>
      <c r="G730" s="44">
        <f>'Kalkulace a Porovnání'!G730</f>
        <v>0</v>
      </c>
      <c r="H730" s="30">
        <f>'Kalkulace a Porovnání'!H730</f>
        <v>0</v>
      </c>
      <c r="K730" s="12" t="s">
        <v>52</v>
      </c>
      <c r="L730" s="13" t="s">
        <v>57</v>
      </c>
      <c r="M730" s="3" t="s">
        <v>58</v>
      </c>
      <c r="N730" s="44">
        <f>'Kalkulace a Porovnání'!N730</f>
        <v>0</v>
      </c>
      <c r="O730" s="44">
        <f>'Kalkulace a Porovnání'!O730</f>
        <v>0</v>
      </c>
      <c r="P730" s="44">
        <f>'Kalkulace a Porovnání'!P730</f>
        <v>0</v>
      </c>
      <c r="Q730" s="30">
        <f>'Kalkulace a Porovnání'!Q730</f>
        <v>0</v>
      </c>
      <c r="T730" s="12" t="s">
        <v>52</v>
      </c>
      <c r="U730" s="13" t="s">
        <v>57</v>
      </c>
      <c r="V730" s="3" t="s">
        <v>58</v>
      </c>
      <c r="W730" s="44">
        <f>'Kalkulace a Porovnání'!W730</f>
        <v>0</v>
      </c>
      <c r="X730" s="44">
        <f>'Kalkulace a Porovnání'!X730</f>
        <v>0</v>
      </c>
      <c r="Y730" s="44">
        <f>'Kalkulace a Porovnání'!Y730</f>
        <v>0</v>
      </c>
      <c r="Z730" s="44">
        <f>'Kalkulace a Porovnání'!Z730</f>
        <v>0</v>
      </c>
      <c r="AA730" s="44">
        <f>'Kalkulace a Porovnání'!AA730</f>
        <v>0</v>
      </c>
      <c r="AB730" s="30">
        <f>'Kalkulace a Porovnání'!AB730</f>
        <v>0</v>
      </c>
      <c r="AC730" s="146"/>
      <c r="AD730" s="428"/>
      <c r="AG730" s="1119"/>
      <c r="AH730" s="1119"/>
      <c r="AI730" s="252"/>
      <c r="AJ730" s="252"/>
      <c r="AK730" s="428"/>
      <c r="AL730" s="146"/>
    </row>
    <row r="731" spans="2:38" x14ac:dyDescent="0.25">
      <c r="B731" s="12" t="s">
        <v>53</v>
      </c>
      <c r="C731" s="13" t="s">
        <v>60</v>
      </c>
      <c r="D731" s="3" t="s">
        <v>58</v>
      </c>
      <c r="E731" s="44">
        <f>'Kalkulace a Porovnání'!E731</f>
        <v>0</v>
      </c>
      <c r="F731" s="44">
        <f>'Kalkulace a Porovnání'!F731</f>
        <v>0</v>
      </c>
      <c r="G731" s="44">
        <f>'Kalkulace a Porovnání'!G731</f>
        <v>0</v>
      </c>
      <c r="H731" s="30">
        <f>'Kalkulace a Porovnání'!H731</f>
        <v>0</v>
      </c>
      <c r="K731" s="12" t="s">
        <v>53</v>
      </c>
      <c r="L731" s="13" t="s">
        <v>60</v>
      </c>
      <c r="M731" s="3" t="s">
        <v>58</v>
      </c>
      <c r="N731" s="44">
        <f>'Kalkulace a Porovnání'!N731</f>
        <v>0</v>
      </c>
      <c r="O731" s="44">
        <f>'Kalkulace a Porovnání'!O731</f>
        <v>0</v>
      </c>
      <c r="P731" s="44">
        <f>'Kalkulace a Porovnání'!P731</f>
        <v>0</v>
      </c>
      <c r="Q731" s="30">
        <f>'Kalkulace a Porovnání'!Q731</f>
        <v>0</v>
      </c>
      <c r="T731" s="12" t="s">
        <v>53</v>
      </c>
      <c r="U731" s="13" t="s">
        <v>60</v>
      </c>
      <c r="V731" s="3" t="s">
        <v>58</v>
      </c>
      <c r="W731" s="44">
        <f>'Kalkulace a Porovnání'!W731</f>
        <v>0</v>
      </c>
      <c r="X731" s="44">
        <f>'Kalkulace a Porovnání'!X731</f>
        <v>0</v>
      </c>
      <c r="Y731" s="44">
        <f>'Kalkulace a Porovnání'!Y731</f>
        <v>0</v>
      </c>
      <c r="Z731" s="44">
        <f>'Kalkulace a Porovnání'!Z731</f>
        <v>0</v>
      </c>
      <c r="AA731" s="44">
        <f>'Kalkulace a Porovnání'!AA731</f>
        <v>0</v>
      </c>
      <c r="AB731" s="30">
        <f>'Kalkulace a Porovnání'!AB731</f>
        <v>0</v>
      </c>
      <c r="AC731" s="146"/>
      <c r="AD731" s="428"/>
      <c r="AG731" s="147"/>
      <c r="AH731" s="147"/>
      <c r="AI731" s="252"/>
      <c r="AJ731" s="252"/>
      <c r="AK731" s="428"/>
      <c r="AL731" s="146"/>
    </row>
    <row r="732" spans="2:38" x14ac:dyDescent="0.25">
      <c r="B732" s="12" t="s">
        <v>56</v>
      </c>
      <c r="C732" s="13" t="s">
        <v>62</v>
      </c>
      <c r="D732" s="3" t="s">
        <v>58</v>
      </c>
      <c r="E732" s="44">
        <f>'Kalkulace a Porovnání'!E732</f>
        <v>0</v>
      </c>
      <c r="F732" s="44">
        <f>'Kalkulace a Porovnání'!F732</f>
        <v>0</v>
      </c>
      <c r="G732" s="44">
        <f>'Kalkulace a Porovnání'!G732</f>
        <v>0</v>
      </c>
      <c r="H732" s="30">
        <f>'Kalkulace a Porovnání'!H732</f>
        <v>0</v>
      </c>
      <c r="K732" s="12" t="s">
        <v>56</v>
      </c>
      <c r="L732" s="13" t="s">
        <v>62</v>
      </c>
      <c r="M732" s="3" t="s">
        <v>58</v>
      </c>
      <c r="N732" s="44">
        <f>'Kalkulace a Porovnání'!N732</f>
        <v>0</v>
      </c>
      <c r="O732" s="44">
        <f>'Kalkulace a Porovnání'!O732</f>
        <v>0</v>
      </c>
      <c r="P732" s="44">
        <f>'Kalkulace a Porovnání'!P732</f>
        <v>0</v>
      </c>
      <c r="Q732" s="30">
        <f>'Kalkulace a Porovnání'!Q732</f>
        <v>0</v>
      </c>
      <c r="T732" s="12" t="s">
        <v>56</v>
      </c>
      <c r="U732" s="13" t="s">
        <v>62</v>
      </c>
      <c r="V732" s="3" t="s">
        <v>58</v>
      </c>
      <c r="W732" s="44">
        <f>'Kalkulace a Porovnání'!W732</f>
        <v>0</v>
      </c>
      <c r="X732" s="44">
        <f>'Kalkulace a Porovnání'!X732</f>
        <v>0</v>
      </c>
      <c r="Y732" s="44">
        <f>'Kalkulace a Porovnání'!Y732</f>
        <v>0</v>
      </c>
      <c r="Z732" s="44">
        <f>'Kalkulace a Porovnání'!Z732</f>
        <v>0</v>
      </c>
      <c r="AA732" s="44">
        <f>'Kalkulace a Porovnání'!AA732</f>
        <v>0</v>
      </c>
      <c r="AB732" s="30">
        <f>'Kalkulace a Porovnání'!AB732</f>
        <v>0</v>
      </c>
      <c r="AC732" s="146"/>
      <c r="AD732" s="428"/>
      <c r="AG732" s="430"/>
      <c r="AH732" s="430"/>
      <c r="AI732" s="252"/>
      <c r="AJ732" s="252"/>
      <c r="AK732" s="428"/>
      <c r="AL732" s="146"/>
    </row>
    <row r="733" spans="2:38" x14ac:dyDescent="0.25">
      <c r="B733" s="12" t="s">
        <v>59</v>
      </c>
      <c r="C733" s="13" t="s">
        <v>60</v>
      </c>
      <c r="D733" s="3" t="s">
        <v>58</v>
      </c>
      <c r="E733" s="44">
        <f>'Kalkulace a Porovnání'!E733</f>
        <v>0</v>
      </c>
      <c r="F733" s="44">
        <f>'Kalkulace a Porovnání'!F733</f>
        <v>0</v>
      </c>
      <c r="G733" s="44">
        <f>'Kalkulace a Porovnání'!G733</f>
        <v>0</v>
      </c>
      <c r="H733" s="30">
        <f>'Kalkulace a Porovnání'!H733</f>
        <v>0</v>
      </c>
      <c r="K733" s="12" t="s">
        <v>59</v>
      </c>
      <c r="L733" s="13" t="s">
        <v>60</v>
      </c>
      <c r="M733" s="3" t="s">
        <v>58</v>
      </c>
      <c r="N733" s="44">
        <f>'Kalkulace a Porovnání'!N733</f>
        <v>0</v>
      </c>
      <c r="O733" s="44">
        <f>'Kalkulace a Porovnání'!O733</f>
        <v>0</v>
      </c>
      <c r="P733" s="44">
        <f>'Kalkulace a Porovnání'!P733</f>
        <v>0</v>
      </c>
      <c r="Q733" s="30">
        <f>'Kalkulace a Porovnání'!Q733</f>
        <v>0</v>
      </c>
      <c r="T733" s="12" t="s">
        <v>59</v>
      </c>
      <c r="U733" s="13" t="s">
        <v>60</v>
      </c>
      <c r="V733" s="3" t="s">
        <v>58</v>
      </c>
      <c r="W733" s="44">
        <f>'Kalkulace a Porovnání'!W733</f>
        <v>0</v>
      </c>
      <c r="X733" s="44">
        <f>'Kalkulace a Porovnání'!X733</f>
        <v>0</v>
      </c>
      <c r="Y733" s="44">
        <f>'Kalkulace a Porovnání'!Y733</f>
        <v>0</v>
      </c>
      <c r="Z733" s="44">
        <f>'Kalkulace a Porovnání'!Z733</f>
        <v>0</v>
      </c>
      <c r="AA733" s="44">
        <f>'Kalkulace a Porovnání'!AA733</f>
        <v>0</v>
      </c>
      <c r="AB733" s="30">
        <f>'Kalkulace a Porovnání'!AB733</f>
        <v>0</v>
      </c>
      <c r="AC733" s="146"/>
      <c r="AD733" s="428"/>
      <c r="AG733" s="427"/>
      <c r="AH733" s="427"/>
      <c r="AI733" s="252"/>
      <c r="AJ733" s="252"/>
      <c r="AK733" s="428"/>
      <c r="AL733" s="146"/>
    </row>
    <row r="734" spans="2:38" x14ac:dyDescent="0.25">
      <c r="B734" s="12" t="s">
        <v>61</v>
      </c>
      <c r="C734" s="13" t="s">
        <v>65</v>
      </c>
      <c r="D734" s="3" t="s">
        <v>58</v>
      </c>
      <c r="E734" s="44">
        <f>'Kalkulace a Porovnání'!E734</f>
        <v>0</v>
      </c>
      <c r="F734" s="44">
        <f>'Kalkulace a Porovnání'!F734</f>
        <v>0</v>
      </c>
      <c r="G734" s="44">
        <f>'Kalkulace a Porovnání'!G734</f>
        <v>0</v>
      </c>
      <c r="H734" s="30">
        <f>'Kalkulace a Porovnání'!H734</f>
        <v>0</v>
      </c>
      <c r="K734" s="12" t="s">
        <v>61</v>
      </c>
      <c r="L734" s="13" t="s">
        <v>65</v>
      </c>
      <c r="M734" s="3" t="s">
        <v>58</v>
      </c>
      <c r="N734" s="44">
        <f>'Kalkulace a Porovnání'!N734</f>
        <v>0</v>
      </c>
      <c r="O734" s="44">
        <f>'Kalkulace a Porovnání'!O734</f>
        <v>0</v>
      </c>
      <c r="P734" s="44">
        <f>'Kalkulace a Porovnání'!P734</f>
        <v>0</v>
      </c>
      <c r="Q734" s="30">
        <f>'Kalkulace a Porovnání'!Q734</f>
        <v>0</v>
      </c>
      <c r="T734" s="12" t="s">
        <v>61</v>
      </c>
      <c r="U734" s="13" t="s">
        <v>65</v>
      </c>
      <c r="V734" s="3" t="s">
        <v>58</v>
      </c>
      <c r="W734" s="44">
        <f>'Kalkulace a Porovnání'!W734</f>
        <v>0</v>
      </c>
      <c r="X734" s="44">
        <f>'Kalkulace a Porovnání'!X734</f>
        <v>0</v>
      </c>
      <c r="Y734" s="44">
        <f>'Kalkulace a Porovnání'!Y734</f>
        <v>0</v>
      </c>
      <c r="Z734" s="44">
        <f>'Kalkulace a Porovnání'!Z734</f>
        <v>0</v>
      </c>
      <c r="AA734" s="44">
        <f>'Kalkulace a Porovnání'!AA734</f>
        <v>0</v>
      </c>
      <c r="AB734" s="30">
        <f>'Kalkulace a Porovnání'!AB734</f>
        <v>0</v>
      </c>
      <c r="AC734" s="146"/>
      <c r="AD734" s="428"/>
      <c r="AG734" s="147"/>
      <c r="AH734" s="147"/>
      <c r="AI734" s="430"/>
      <c r="AJ734" s="430"/>
      <c r="AK734" s="428"/>
      <c r="AL734" s="146"/>
    </row>
    <row r="735" spans="2:38" x14ac:dyDescent="0.25">
      <c r="B735" s="12" t="s">
        <v>63</v>
      </c>
      <c r="C735" s="13" t="s">
        <v>67</v>
      </c>
      <c r="D735" s="3" t="s">
        <v>58</v>
      </c>
      <c r="E735" s="44">
        <f>'Kalkulace a Porovnání'!E735</f>
        <v>0</v>
      </c>
      <c r="F735" s="44">
        <f>'Kalkulace a Porovnání'!F735</f>
        <v>0</v>
      </c>
      <c r="G735" s="44">
        <f>'Kalkulace a Porovnání'!G735</f>
        <v>0</v>
      </c>
      <c r="H735" s="30">
        <f>'Kalkulace a Porovnání'!H735</f>
        <v>0</v>
      </c>
      <c r="K735" s="12" t="s">
        <v>63</v>
      </c>
      <c r="L735" s="13" t="s">
        <v>67</v>
      </c>
      <c r="M735" s="3" t="s">
        <v>58</v>
      </c>
      <c r="N735" s="44">
        <f>'Kalkulace a Porovnání'!N735</f>
        <v>0</v>
      </c>
      <c r="O735" s="44">
        <f>'Kalkulace a Porovnání'!O735</f>
        <v>0</v>
      </c>
      <c r="P735" s="44">
        <f>'Kalkulace a Porovnání'!P735</f>
        <v>0</v>
      </c>
      <c r="Q735" s="30">
        <f>'Kalkulace a Porovnání'!Q735</f>
        <v>0</v>
      </c>
      <c r="T735" s="12" t="s">
        <v>63</v>
      </c>
      <c r="U735" s="13" t="s">
        <v>67</v>
      </c>
      <c r="V735" s="3" t="s">
        <v>58</v>
      </c>
      <c r="W735" s="44">
        <f>'Kalkulace a Porovnání'!W735</f>
        <v>0</v>
      </c>
      <c r="X735" s="44">
        <f>'Kalkulace a Porovnání'!X735</f>
        <v>0</v>
      </c>
      <c r="Y735" s="44">
        <f>'Kalkulace a Porovnání'!Y735</f>
        <v>0</v>
      </c>
      <c r="Z735" s="44">
        <f>'Kalkulace a Porovnání'!Z735</f>
        <v>0</v>
      </c>
      <c r="AA735" s="44">
        <f>'Kalkulace a Porovnání'!AA735</f>
        <v>0</v>
      </c>
      <c r="AB735" s="30">
        <f>'Kalkulace a Porovnání'!AB735</f>
        <v>0</v>
      </c>
      <c r="AC735" s="146"/>
      <c r="AD735" s="428"/>
      <c r="AG735" s="147"/>
      <c r="AH735" s="147"/>
      <c r="AI735" s="430"/>
      <c r="AJ735" s="430"/>
      <c r="AK735" s="428"/>
      <c r="AL735" s="146"/>
    </row>
    <row r="736" spans="2:38" x14ac:dyDescent="0.25">
      <c r="B736" s="12" t="s">
        <v>64</v>
      </c>
      <c r="C736" s="13" t="s">
        <v>68</v>
      </c>
      <c r="D736" s="3" t="s">
        <v>58</v>
      </c>
      <c r="E736" s="44">
        <f>'Kalkulace a Porovnání'!E736</f>
        <v>0</v>
      </c>
      <c r="F736" s="44">
        <f>'Kalkulace a Porovnání'!F736</f>
        <v>0</v>
      </c>
      <c r="G736" s="44">
        <f>'Kalkulace a Porovnání'!G736</f>
        <v>0</v>
      </c>
      <c r="H736" s="30">
        <f>'Kalkulace a Porovnání'!H736</f>
        <v>0</v>
      </c>
      <c r="K736" s="12" t="s">
        <v>64</v>
      </c>
      <c r="L736" s="13" t="s">
        <v>68</v>
      </c>
      <c r="M736" s="3" t="s">
        <v>58</v>
      </c>
      <c r="N736" s="44">
        <f>'Kalkulace a Porovnání'!N736</f>
        <v>0</v>
      </c>
      <c r="O736" s="44">
        <f>'Kalkulace a Porovnání'!O736</f>
        <v>0</v>
      </c>
      <c r="P736" s="44">
        <f>'Kalkulace a Porovnání'!P736</f>
        <v>0</v>
      </c>
      <c r="Q736" s="30">
        <f>'Kalkulace a Porovnání'!Q736</f>
        <v>0</v>
      </c>
      <c r="T736" s="12" t="s">
        <v>64</v>
      </c>
      <c r="U736" s="13" t="s">
        <v>68</v>
      </c>
      <c r="V736" s="3" t="s">
        <v>58</v>
      </c>
      <c r="W736" s="44">
        <f>'Kalkulace a Porovnání'!W736</f>
        <v>0</v>
      </c>
      <c r="X736" s="44">
        <f>'Kalkulace a Porovnání'!X736</f>
        <v>0</v>
      </c>
      <c r="Y736" s="44">
        <f>'Kalkulace a Porovnání'!Y736</f>
        <v>0</v>
      </c>
      <c r="Z736" s="44">
        <f>'Kalkulace a Porovnání'!Z736</f>
        <v>0</v>
      </c>
      <c r="AA736" s="44">
        <f>'Kalkulace a Porovnání'!AA736</f>
        <v>0</v>
      </c>
      <c r="AB736" s="30">
        <f>'Kalkulace a Porovnání'!AB736</f>
        <v>0</v>
      </c>
      <c r="AC736" s="146"/>
      <c r="AD736" s="428"/>
      <c r="AG736" s="147"/>
      <c r="AH736" s="147"/>
      <c r="AI736" s="430"/>
      <c r="AJ736" s="430"/>
      <c r="AK736" s="428"/>
      <c r="AL736" s="146"/>
    </row>
    <row r="737" spans="2:38" x14ac:dyDescent="0.25">
      <c r="B737" s="12" t="s">
        <v>66</v>
      </c>
      <c r="C737" s="13" t="s">
        <v>69</v>
      </c>
      <c r="D737" s="3" t="s">
        <v>58</v>
      </c>
      <c r="E737" s="44">
        <f>'Kalkulace a Porovnání'!E737</f>
        <v>0</v>
      </c>
      <c r="F737" s="44">
        <f>'Kalkulace a Porovnání'!F737</f>
        <v>0</v>
      </c>
      <c r="G737" s="44">
        <f>'Kalkulace a Porovnání'!G737</f>
        <v>0</v>
      </c>
      <c r="H737" s="30">
        <f>'Kalkulace a Porovnání'!H737</f>
        <v>0</v>
      </c>
      <c r="K737" s="12" t="s">
        <v>66</v>
      </c>
      <c r="L737" s="13" t="s">
        <v>69</v>
      </c>
      <c r="M737" s="3" t="s">
        <v>58</v>
      </c>
      <c r="N737" s="44">
        <f>'Kalkulace a Porovnání'!N737</f>
        <v>0</v>
      </c>
      <c r="O737" s="44">
        <f>'Kalkulace a Porovnání'!O737</f>
        <v>0</v>
      </c>
      <c r="P737" s="44">
        <f>'Kalkulace a Porovnání'!P737</f>
        <v>0</v>
      </c>
      <c r="Q737" s="30">
        <f>'Kalkulace a Porovnání'!Q737</f>
        <v>0</v>
      </c>
      <c r="T737" s="12" t="s">
        <v>66</v>
      </c>
      <c r="U737" s="13" t="s">
        <v>69</v>
      </c>
      <c r="V737" s="3" t="s">
        <v>58</v>
      </c>
      <c r="W737" s="44">
        <f>'Kalkulace a Porovnání'!W737</f>
        <v>0</v>
      </c>
      <c r="X737" s="44">
        <f>'Kalkulace a Porovnání'!X737</f>
        <v>0</v>
      </c>
      <c r="Y737" s="44">
        <f>'Kalkulace a Porovnání'!Y737</f>
        <v>0</v>
      </c>
      <c r="Z737" s="44">
        <f>'Kalkulace a Porovnání'!Z737</f>
        <v>0</v>
      </c>
      <c r="AA737" s="44">
        <f>'Kalkulace a Porovnání'!AA737</f>
        <v>0</v>
      </c>
      <c r="AB737" s="30">
        <f>'Kalkulace a Porovnání'!AB737</f>
        <v>0</v>
      </c>
      <c r="AC737" s="146"/>
      <c r="AD737" s="428"/>
      <c r="AG737" s="314"/>
      <c r="AH737" s="314"/>
      <c r="AI737" s="252"/>
      <c r="AJ737" s="252"/>
      <c r="AK737" s="428"/>
      <c r="AL737" s="146"/>
    </row>
    <row r="738" spans="2:38" x14ac:dyDescent="0.25">
      <c r="B738" s="1"/>
      <c r="C738" s="1"/>
      <c r="D738" s="1"/>
      <c r="E738" s="1"/>
      <c r="F738" s="1"/>
      <c r="G738" s="1"/>
      <c r="H738" s="1"/>
      <c r="K738" s="1"/>
      <c r="L738" s="1"/>
      <c r="M738" s="1"/>
      <c r="N738" s="1"/>
      <c r="O738" s="1"/>
      <c r="P738" s="1"/>
      <c r="Q738" s="1"/>
      <c r="T738" s="1"/>
      <c r="U738" s="1"/>
      <c r="V738" s="1"/>
      <c r="W738" s="1"/>
      <c r="X738" s="1"/>
      <c r="Y738" s="1"/>
      <c r="Z738" s="1"/>
      <c r="AA738" s="1"/>
      <c r="AB738" s="1"/>
      <c r="AC738" s="146"/>
      <c r="AD738" s="428"/>
      <c r="AG738" s="428"/>
      <c r="AH738" s="428"/>
      <c r="AI738" s="428"/>
      <c r="AJ738" s="428"/>
      <c r="AK738" s="428"/>
      <c r="AL738" s="146"/>
    </row>
    <row r="739" spans="2:38" x14ac:dyDescent="0.25">
      <c r="B739" s="1052" t="s">
        <v>5</v>
      </c>
      <c r="C739" s="884" t="s">
        <v>70</v>
      </c>
      <c r="D739" s="868"/>
      <c r="E739" s="1082"/>
      <c r="F739" s="1083"/>
      <c r="G739" s="868"/>
      <c r="H739" s="869"/>
      <c r="K739" s="1052" t="s">
        <v>5</v>
      </c>
      <c r="L739" s="884" t="s">
        <v>70</v>
      </c>
      <c r="M739" s="868"/>
      <c r="N739" s="1082"/>
      <c r="O739" s="1083"/>
      <c r="P739" s="868"/>
      <c r="Q739" s="869"/>
      <c r="T739" s="1098" t="s">
        <v>5</v>
      </c>
      <c r="U739" s="884" t="s">
        <v>70</v>
      </c>
      <c r="V739" s="868"/>
      <c r="W739" s="1082"/>
      <c r="X739" s="1082"/>
      <c r="Y739" s="1083"/>
      <c r="Z739" s="868"/>
      <c r="AA739" s="868"/>
      <c r="AB739" s="869"/>
      <c r="AC739" s="146"/>
      <c r="AD739" s="428"/>
      <c r="AG739" s="428"/>
      <c r="AH739" s="428"/>
      <c r="AI739" s="428"/>
      <c r="AJ739" s="428"/>
      <c r="AK739" s="428"/>
      <c r="AL739" s="146"/>
    </row>
    <row r="740" spans="2:38" x14ac:dyDescent="0.25">
      <c r="B740" s="1053"/>
      <c r="C740" s="1052" t="s">
        <v>71</v>
      </c>
      <c r="D740" s="1065" t="s">
        <v>133</v>
      </c>
      <c r="E740" s="1085" t="s">
        <v>102</v>
      </c>
      <c r="F740" s="1086"/>
      <c r="G740" s="85" t="s">
        <v>3</v>
      </c>
      <c r="H740" s="23" t="s">
        <v>4</v>
      </c>
      <c r="K740" s="1053"/>
      <c r="L740" s="5" t="s">
        <v>71</v>
      </c>
      <c r="M740" s="1065" t="s">
        <v>133</v>
      </c>
      <c r="N740" s="1085" t="s">
        <v>102</v>
      </c>
      <c r="O740" s="1086"/>
      <c r="P740" s="85" t="s">
        <v>3</v>
      </c>
      <c r="Q740" s="23" t="s">
        <v>4</v>
      </c>
      <c r="T740" s="1099"/>
      <c r="U740" s="1052" t="s">
        <v>71</v>
      </c>
      <c r="V740" s="1065" t="s">
        <v>133</v>
      </c>
      <c r="W740" s="1085" t="s">
        <v>102</v>
      </c>
      <c r="X740" s="1086"/>
      <c r="Y740" s="1085" t="s">
        <v>3</v>
      </c>
      <c r="Z740" s="1101"/>
      <c r="AA740" s="1102" t="s">
        <v>4</v>
      </c>
      <c r="AB740" s="1102"/>
      <c r="AC740" s="146"/>
      <c r="AD740" s="428"/>
      <c r="AG740" s="428"/>
      <c r="AH740" s="428"/>
      <c r="AI740" s="428"/>
      <c r="AJ740" s="428"/>
      <c r="AK740" s="428"/>
      <c r="AL740" s="146"/>
    </row>
    <row r="741" spans="2:38" x14ac:dyDescent="0.25">
      <c r="B741" s="1054"/>
      <c r="C741" s="1054"/>
      <c r="D741" s="1084"/>
      <c r="E741" s="1087"/>
      <c r="F741" s="1088"/>
      <c r="G741" s="26" t="s">
        <v>7</v>
      </c>
      <c r="H741" s="24" t="s">
        <v>7</v>
      </c>
      <c r="K741" s="1054"/>
      <c r="L741" s="8"/>
      <c r="M741" s="1084"/>
      <c r="N741" s="1087"/>
      <c r="O741" s="1088"/>
      <c r="P741" s="26" t="s">
        <v>7</v>
      </c>
      <c r="Q741" s="24" t="s">
        <v>7</v>
      </c>
      <c r="T741" s="1100"/>
      <c r="U741" s="1054"/>
      <c r="V741" s="1084"/>
      <c r="W741" s="1087"/>
      <c r="X741" s="1088"/>
      <c r="Y741" s="37" t="s">
        <v>148</v>
      </c>
      <c r="Z741" s="37" t="s">
        <v>7</v>
      </c>
      <c r="AA741" s="37" t="s">
        <v>148</v>
      </c>
      <c r="AB741" s="37" t="s">
        <v>7</v>
      </c>
      <c r="AC741" s="146"/>
      <c r="AD741" s="428"/>
      <c r="AG741" s="428"/>
      <c r="AH741" s="428"/>
      <c r="AI741" s="428"/>
      <c r="AJ741" s="428"/>
      <c r="AK741" s="428"/>
      <c r="AL741" s="146"/>
    </row>
    <row r="742" spans="2:38" x14ac:dyDescent="0.25">
      <c r="B742" s="11">
        <v>1</v>
      </c>
      <c r="C742" s="11">
        <v>2</v>
      </c>
      <c r="D742" s="11" t="s">
        <v>95</v>
      </c>
      <c r="E742" s="873" t="s">
        <v>99</v>
      </c>
      <c r="F742" s="874"/>
      <c r="G742" s="11" t="s">
        <v>100</v>
      </c>
      <c r="H742" s="22" t="s">
        <v>101</v>
      </c>
      <c r="K742" s="11">
        <v>1</v>
      </c>
      <c r="L742" s="11">
        <v>2</v>
      </c>
      <c r="M742" s="11" t="s">
        <v>95</v>
      </c>
      <c r="N742" s="873" t="s">
        <v>99</v>
      </c>
      <c r="O742" s="874"/>
      <c r="P742" s="11" t="s">
        <v>100</v>
      </c>
      <c r="Q742" s="22" t="s">
        <v>101</v>
      </c>
      <c r="T742" s="11">
        <v>1</v>
      </c>
      <c r="U742" s="11">
        <v>2</v>
      </c>
      <c r="V742" s="11" t="s">
        <v>95</v>
      </c>
      <c r="W742" s="1096" t="s">
        <v>99</v>
      </c>
      <c r="X742" s="1097"/>
      <c r="Y742" s="11" t="s">
        <v>153</v>
      </c>
      <c r="Z742" s="11" t="s">
        <v>100</v>
      </c>
      <c r="AA742" s="11" t="s">
        <v>152</v>
      </c>
      <c r="AB742" s="22" t="s">
        <v>101</v>
      </c>
      <c r="AC742" s="146"/>
      <c r="AD742" s="428"/>
      <c r="AG742" s="428"/>
      <c r="AH742" s="428"/>
      <c r="AI742" s="428"/>
      <c r="AJ742" s="428"/>
      <c r="AK742" s="428"/>
      <c r="AL742" s="146"/>
    </row>
    <row r="743" spans="2:38" x14ac:dyDescent="0.25">
      <c r="B743" s="12" t="s">
        <v>72</v>
      </c>
      <c r="C743" s="13" t="s">
        <v>104</v>
      </c>
      <c r="D743" s="13" t="s">
        <v>73</v>
      </c>
      <c r="E743" s="875" t="s">
        <v>403</v>
      </c>
      <c r="F743" s="859"/>
      <c r="G743" s="138">
        <f>'Kalkulace a Porovnání'!G743</f>
        <v>0</v>
      </c>
      <c r="H743" s="138">
        <f>'Kalkulace a Porovnání'!H743</f>
        <v>0</v>
      </c>
      <c r="K743" s="12" t="s">
        <v>72</v>
      </c>
      <c r="L743" s="13" t="s">
        <v>104</v>
      </c>
      <c r="M743" s="13" t="s">
        <v>73</v>
      </c>
      <c r="N743" s="875" t="s">
        <v>403</v>
      </c>
      <c r="O743" s="859"/>
      <c r="P743" s="138">
        <f>'Kalkulace a Porovnání'!P743</f>
        <v>0</v>
      </c>
      <c r="Q743" s="138">
        <f>'Kalkulace a Porovnání'!Q743</f>
        <v>0</v>
      </c>
      <c r="T743" s="12" t="s">
        <v>72</v>
      </c>
      <c r="U743" s="13" t="s">
        <v>104</v>
      </c>
      <c r="V743" s="13" t="s">
        <v>73</v>
      </c>
      <c r="W743" s="875" t="s">
        <v>403</v>
      </c>
      <c r="X743" s="859"/>
      <c r="Y743" s="138">
        <f>'Kalkulace a Porovnání'!Y743</f>
        <v>0</v>
      </c>
      <c r="Z743" s="138">
        <f>'Kalkulace a Porovnání'!Z743</f>
        <v>0</v>
      </c>
      <c r="AA743" s="138">
        <f>'Kalkulace a Porovnání'!AA743</f>
        <v>0</v>
      </c>
      <c r="AB743" s="138">
        <f>'Kalkulace a Porovnání'!AB743</f>
        <v>0</v>
      </c>
      <c r="AC743" s="146"/>
      <c r="AD743" s="428"/>
      <c r="AG743" s="428"/>
      <c r="AH743" s="428"/>
      <c r="AI743" s="428"/>
      <c r="AJ743" s="428"/>
      <c r="AK743" s="428"/>
      <c r="AL743" s="146"/>
    </row>
    <row r="744" spans="2:38" x14ac:dyDescent="0.25">
      <c r="B744" s="12" t="s">
        <v>74</v>
      </c>
      <c r="C744" s="13" t="s">
        <v>358</v>
      </c>
      <c r="D744" s="13" t="s">
        <v>10</v>
      </c>
      <c r="E744" s="858" t="s">
        <v>404</v>
      </c>
      <c r="F744" s="870"/>
      <c r="G744" s="138">
        <f>G745+G746</f>
        <v>0</v>
      </c>
      <c r="H744" s="138">
        <f>H745+H746</f>
        <v>0</v>
      </c>
      <c r="K744" s="12" t="s">
        <v>74</v>
      </c>
      <c r="L744" s="13" t="s">
        <v>358</v>
      </c>
      <c r="M744" s="13" t="s">
        <v>10</v>
      </c>
      <c r="N744" s="858" t="s">
        <v>404</v>
      </c>
      <c r="O744" s="870"/>
      <c r="P744" s="138">
        <f>P745+P746</f>
        <v>0</v>
      </c>
      <c r="Q744" s="138">
        <f>Q745+Q746</f>
        <v>0</v>
      </c>
      <c r="T744" s="12" t="s">
        <v>74</v>
      </c>
      <c r="U744" s="13" t="s">
        <v>358</v>
      </c>
      <c r="V744" s="13" t="s">
        <v>10</v>
      </c>
      <c r="W744" s="858" t="s">
        <v>404</v>
      </c>
      <c r="X744" s="870"/>
      <c r="Y744" s="138">
        <f>Y745+Y746</f>
        <v>0</v>
      </c>
      <c r="Z744" s="138">
        <f>Z745+Z746</f>
        <v>0</v>
      </c>
      <c r="AA744" s="138">
        <f>AA745+AA746</f>
        <v>0</v>
      </c>
      <c r="AB744" s="138">
        <f>AB745+AB746</f>
        <v>0</v>
      </c>
      <c r="AC744" s="146"/>
      <c r="AD744" s="428"/>
      <c r="AG744" s="428"/>
      <c r="AH744" s="428"/>
      <c r="AI744" s="428"/>
      <c r="AJ744" s="428"/>
      <c r="AK744" s="428"/>
      <c r="AL744" s="146"/>
    </row>
    <row r="745" spans="2:38" x14ac:dyDescent="0.25">
      <c r="B745" s="12" t="s">
        <v>352</v>
      </c>
      <c r="C745" s="13" t="s">
        <v>359</v>
      </c>
      <c r="D745" s="13" t="s">
        <v>10</v>
      </c>
      <c r="E745" s="871"/>
      <c r="F745" s="872"/>
      <c r="G745" s="138">
        <f>'Kalkulace a Porovnání'!G745</f>
        <v>0</v>
      </c>
      <c r="H745" s="138">
        <f>'Kalkulace a Porovnání'!H745</f>
        <v>0</v>
      </c>
      <c r="K745" s="12" t="s">
        <v>352</v>
      </c>
      <c r="L745" s="13" t="s">
        <v>359</v>
      </c>
      <c r="M745" s="13" t="s">
        <v>10</v>
      </c>
      <c r="N745" s="871"/>
      <c r="O745" s="872"/>
      <c r="P745" s="138">
        <f>'Kalkulace a Porovnání'!P745</f>
        <v>0</v>
      </c>
      <c r="Q745" s="138">
        <f>'Kalkulace a Porovnání'!Q745</f>
        <v>0</v>
      </c>
      <c r="T745" s="12" t="s">
        <v>352</v>
      </c>
      <c r="U745" s="13" t="s">
        <v>359</v>
      </c>
      <c r="V745" s="13" t="s">
        <v>10</v>
      </c>
      <c r="W745" s="871"/>
      <c r="X745" s="872"/>
      <c r="Y745" s="138">
        <f>'Kalkulace a Porovnání'!Y745</f>
        <v>0</v>
      </c>
      <c r="Z745" s="138">
        <f>'Kalkulace a Porovnání'!Z745</f>
        <v>0</v>
      </c>
      <c r="AA745" s="138">
        <f>'Kalkulace a Porovnání'!AA745</f>
        <v>0</v>
      </c>
      <c r="AB745" s="138">
        <f>'Kalkulace a Porovnání'!AB745</f>
        <v>0</v>
      </c>
      <c r="AC745" s="146"/>
      <c r="AD745" s="428"/>
      <c r="AG745" s="428"/>
      <c r="AH745" s="428"/>
      <c r="AI745" s="428"/>
      <c r="AJ745" s="428"/>
      <c r="AK745" s="428"/>
      <c r="AL745" s="146"/>
    </row>
    <row r="746" spans="2:38" x14ac:dyDescent="0.25">
      <c r="B746" s="12" t="s">
        <v>361</v>
      </c>
      <c r="C746" s="13" t="s">
        <v>360</v>
      </c>
      <c r="D746" s="13" t="s">
        <v>10</v>
      </c>
      <c r="E746" s="884"/>
      <c r="F746" s="869"/>
      <c r="G746" s="138">
        <f>'Kalkulace a Porovnání'!G746</f>
        <v>0</v>
      </c>
      <c r="H746" s="138">
        <f>'Kalkulace a Porovnání'!H746</f>
        <v>0</v>
      </c>
      <c r="K746" s="12" t="s">
        <v>361</v>
      </c>
      <c r="L746" s="13" t="s">
        <v>360</v>
      </c>
      <c r="M746" s="13" t="s">
        <v>10</v>
      </c>
      <c r="N746" s="884"/>
      <c r="O746" s="869"/>
      <c r="P746" s="138">
        <f>'Kalkulace a Porovnání'!P746</f>
        <v>0</v>
      </c>
      <c r="Q746" s="138">
        <f>'Kalkulace a Porovnání'!Q746</f>
        <v>0</v>
      </c>
      <c r="T746" s="12" t="s">
        <v>361</v>
      </c>
      <c r="U746" s="13" t="s">
        <v>360</v>
      </c>
      <c r="V746" s="13" t="s">
        <v>10</v>
      </c>
      <c r="W746" s="884"/>
      <c r="X746" s="869"/>
      <c r="Y746" s="138">
        <f>'Kalkulace a Porovnání'!Y746</f>
        <v>0</v>
      </c>
      <c r="Z746" s="138">
        <f>'Kalkulace a Porovnání'!Z746</f>
        <v>0</v>
      </c>
      <c r="AA746" s="138">
        <f>'Kalkulace a Porovnání'!AA746</f>
        <v>0</v>
      </c>
      <c r="AB746" s="138">
        <f>'Kalkulace a Porovnání'!AB746</f>
        <v>0</v>
      </c>
      <c r="AC746" s="146"/>
      <c r="AD746" s="428"/>
      <c r="AG746" s="428"/>
      <c r="AH746" s="428"/>
      <c r="AI746" s="428"/>
      <c r="AJ746" s="428"/>
      <c r="AK746" s="428"/>
      <c r="AL746" s="146"/>
    </row>
    <row r="747" spans="2:38" x14ac:dyDescent="0.25">
      <c r="B747" s="12" t="s">
        <v>75</v>
      </c>
      <c r="C747" s="13" t="s">
        <v>396</v>
      </c>
      <c r="D747" s="13" t="s">
        <v>10</v>
      </c>
      <c r="E747" s="858" t="s">
        <v>405</v>
      </c>
      <c r="F747" s="859"/>
      <c r="G747" s="341">
        <f>'Kalkulace a Porovnání'!G747</f>
        <v>0</v>
      </c>
      <c r="H747" s="341">
        <f>'Kalkulace a Porovnání'!H747</f>
        <v>0</v>
      </c>
      <c r="K747" s="12" t="s">
        <v>75</v>
      </c>
      <c r="L747" s="13" t="s">
        <v>396</v>
      </c>
      <c r="M747" s="13" t="s">
        <v>10</v>
      </c>
      <c r="N747" s="858" t="s">
        <v>405</v>
      </c>
      <c r="O747" s="859"/>
      <c r="P747" s="341">
        <f>'Kalkulace a Porovnání'!P747</f>
        <v>0</v>
      </c>
      <c r="Q747" s="341">
        <f>'Kalkulace a Porovnání'!Q747</f>
        <v>0</v>
      </c>
      <c r="T747" s="12" t="s">
        <v>75</v>
      </c>
      <c r="U747" s="13" t="s">
        <v>396</v>
      </c>
      <c r="V747" s="13" t="s">
        <v>10</v>
      </c>
      <c r="W747" s="858" t="s">
        <v>405</v>
      </c>
      <c r="X747" s="859"/>
      <c r="Y747" s="341">
        <f>'Kalkulace a Porovnání'!Y747</f>
        <v>0</v>
      </c>
      <c r="Z747" s="341">
        <f>'Kalkulace a Porovnání'!Z747</f>
        <v>0</v>
      </c>
      <c r="AA747" s="341">
        <f>'Kalkulace a Porovnání'!AA747</f>
        <v>0</v>
      </c>
      <c r="AB747" s="341">
        <f>'Kalkulace a Porovnání'!AB747</f>
        <v>0</v>
      </c>
      <c r="AC747" s="146"/>
      <c r="AD747" s="428"/>
      <c r="AG747" s="428"/>
      <c r="AH747" s="428"/>
      <c r="AI747" s="428"/>
      <c r="AJ747" s="428"/>
      <c r="AK747" s="428"/>
      <c r="AL747" s="146"/>
    </row>
    <row r="748" spans="2:38" x14ac:dyDescent="0.25">
      <c r="B748" s="12" t="s">
        <v>76</v>
      </c>
      <c r="C748" s="13" t="s">
        <v>373</v>
      </c>
      <c r="D748" s="13" t="s">
        <v>10</v>
      </c>
      <c r="E748" s="858"/>
      <c r="F748" s="859"/>
      <c r="G748" s="341">
        <f>'Kalkulace a Porovnání'!G748</f>
        <v>0</v>
      </c>
      <c r="H748" s="341">
        <f>'Kalkulace a Porovnání'!H748</f>
        <v>0</v>
      </c>
      <c r="K748" s="12" t="s">
        <v>76</v>
      </c>
      <c r="L748" s="13" t="s">
        <v>373</v>
      </c>
      <c r="M748" s="13" t="s">
        <v>10</v>
      </c>
      <c r="N748" s="858"/>
      <c r="O748" s="859"/>
      <c r="P748" s="341">
        <f>'Kalkulace a Porovnání'!P748</f>
        <v>0</v>
      </c>
      <c r="Q748" s="341">
        <f>'Kalkulace a Porovnání'!Q748</f>
        <v>0</v>
      </c>
      <c r="T748" s="12" t="s">
        <v>76</v>
      </c>
      <c r="U748" s="13" t="s">
        <v>373</v>
      </c>
      <c r="V748" s="13" t="s">
        <v>10</v>
      </c>
      <c r="W748" s="858"/>
      <c r="X748" s="859"/>
      <c r="Y748" s="341">
        <f>'Kalkulace a Porovnání'!Y748</f>
        <v>2.3999896640999999E-2</v>
      </c>
      <c r="Z748" s="341">
        <f>'Kalkulace a Porovnání'!Z748</f>
        <v>0</v>
      </c>
      <c r="AA748" s="341">
        <f>'Kalkulace a Porovnání'!AA748</f>
        <v>0.100000278</v>
      </c>
      <c r="AB748" s="341">
        <f>'Kalkulace a Porovnání'!AB748</f>
        <v>0</v>
      </c>
      <c r="AC748" s="146"/>
      <c r="AD748" s="428"/>
      <c r="AG748" s="428"/>
      <c r="AH748" s="428"/>
      <c r="AI748" s="428"/>
      <c r="AJ748" s="428"/>
      <c r="AK748" s="428"/>
      <c r="AL748" s="146"/>
    </row>
    <row r="749" spans="2:38" x14ac:dyDescent="0.25">
      <c r="B749" s="12" t="s">
        <v>78</v>
      </c>
      <c r="C749" s="21" t="s">
        <v>402</v>
      </c>
      <c r="D749" s="13" t="s">
        <v>77</v>
      </c>
      <c r="E749" s="875" t="s">
        <v>406</v>
      </c>
      <c r="F749" s="859"/>
      <c r="G749" s="138">
        <f>'Kalkulace a Porovnání'!G749</f>
        <v>0</v>
      </c>
      <c r="H749" s="138">
        <f>'Kalkulace a Porovnání'!H749</f>
        <v>0</v>
      </c>
      <c r="K749" s="12" t="s">
        <v>78</v>
      </c>
      <c r="L749" s="21" t="s">
        <v>402</v>
      </c>
      <c r="M749" s="13" t="s">
        <v>77</v>
      </c>
      <c r="N749" s="875" t="s">
        <v>406</v>
      </c>
      <c r="O749" s="859"/>
      <c r="P749" s="138">
        <f>'Kalkulace a Porovnání'!P749</f>
        <v>0</v>
      </c>
      <c r="Q749" s="138">
        <f>'Kalkulace a Porovnání'!Q749</f>
        <v>0</v>
      </c>
      <c r="T749" s="12" t="s">
        <v>78</v>
      </c>
      <c r="U749" s="21" t="s">
        <v>402</v>
      </c>
      <c r="V749" s="13" t="s">
        <v>77</v>
      </c>
      <c r="W749" s="875" t="s">
        <v>406</v>
      </c>
      <c r="X749" s="859"/>
      <c r="Y749" s="138">
        <f>'Kalkulace a Porovnání'!Y749</f>
        <v>0</v>
      </c>
      <c r="Z749" s="138">
        <f>'Kalkulace a Porovnání'!Z749</f>
        <v>0</v>
      </c>
      <c r="AA749" s="138">
        <f>'Kalkulace a Porovnání'!AA749</f>
        <v>0</v>
      </c>
      <c r="AB749" s="138">
        <f>'Kalkulace a Porovnání'!AB749</f>
        <v>0</v>
      </c>
      <c r="AC749" s="146"/>
      <c r="AD749" s="428"/>
      <c r="AG749" s="428"/>
      <c r="AH749" s="428"/>
      <c r="AI749" s="428"/>
      <c r="AJ749" s="428"/>
      <c r="AK749" s="428"/>
      <c r="AL749" s="146"/>
    </row>
    <row r="750" spans="2:38" x14ac:dyDescent="0.25">
      <c r="B750" s="12" t="s">
        <v>79</v>
      </c>
      <c r="C750" s="21" t="s">
        <v>408</v>
      </c>
      <c r="D750" s="13" t="s">
        <v>10</v>
      </c>
      <c r="E750" s="858" t="s">
        <v>407</v>
      </c>
      <c r="F750" s="859"/>
      <c r="G750" s="341">
        <f>'Kalkulace a Porovnání'!G750</f>
        <v>0</v>
      </c>
      <c r="H750" s="341">
        <f>'Kalkulace a Porovnání'!H750</f>
        <v>0</v>
      </c>
      <c r="K750" s="12" t="s">
        <v>79</v>
      </c>
      <c r="L750" s="21" t="s">
        <v>408</v>
      </c>
      <c r="M750" s="13" t="s">
        <v>10</v>
      </c>
      <c r="N750" s="858" t="s">
        <v>407</v>
      </c>
      <c r="O750" s="859"/>
      <c r="P750" s="341">
        <f>'Kalkulace a Porovnání'!P750</f>
        <v>0</v>
      </c>
      <c r="Q750" s="341">
        <f>'Kalkulace a Porovnání'!Q750</f>
        <v>0</v>
      </c>
      <c r="T750" s="12" t="s">
        <v>79</v>
      </c>
      <c r="U750" s="21" t="s">
        <v>408</v>
      </c>
      <c r="V750" s="13" t="s">
        <v>10</v>
      </c>
      <c r="W750" s="858" t="s">
        <v>407</v>
      </c>
      <c r="X750" s="859"/>
      <c r="Y750" s="341">
        <f>'Kalkulace a Porovnání'!Y750</f>
        <v>0</v>
      </c>
      <c r="Z750" s="341">
        <f>'Kalkulace a Porovnání'!Z750</f>
        <v>0</v>
      </c>
      <c r="AA750" s="341">
        <f>'Kalkulace a Porovnání'!AA750</f>
        <v>0</v>
      </c>
      <c r="AB750" s="341">
        <f>'Kalkulace a Porovnání'!AB750</f>
        <v>0</v>
      </c>
      <c r="AC750" s="146"/>
      <c r="AD750" s="428"/>
      <c r="AG750" s="428"/>
      <c r="AH750" s="428"/>
      <c r="AI750" s="428"/>
      <c r="AJ750" s="428"/>
      <c r="AK750" s="428"/>
      <c r="AL750" s="146"/>
    </row>
    <row r="751" spans="2:38" x14ac:dyDescent="0.25">
      <c r="B751" s="12" t="s">
        <v>80</v>
      </c>
      <c r="C751" s="21" t="s">
        <v>354</v>
      </c>
      <c r="D751" s="13" t="s">
        <v>10</v>
      </c>
      <c r="E751" s="858" t="s">
        <v>409</v>
      </c>
      <c r="F751" s="870"/>
      <c r="G751" s="341">
        <f>'Kalkulace a Porovnání'!G751</f>
        <v>0</v>
      </c>
      <c r="H751" s="341">
        <f>'Kalkulace a Porovnání'!H751</f>
        <v>0</v>
      </c>
      <c r="K751" s="12" t="s">
        <v>80</v>
      </c>
      <c r="L751" s="21" t="s">
        <v>354</v>
      </c>
      <c r="M751" s="13" t="s">
        <v>10</v>
      </c>
      <c r="N751" s="858" t="s">
        <v>409</v>
      </c>
      <c r="O751" s="870"/>
      <c r="P751" s="341">
        <f>'Kalkulace a Porovnání'!P751</f>
        <v>0</v>
      </c>
      <c r="Q751" s="341">
        <f>'Kalkulace a Porovnání'!Q751</f>
        <v>0</v>
      </c>
      <c r="T751" s="12" t="s">
        <v>80</v>
      </c>
      <c r="U751" s="21" t="s">
        <v>354</v>
      </c>
      <c r="V751" s="13" t="s">
        <v>10</v>
      </c>
      <c r="W751" s="858" t="s">
        <v>409</v>
      </c>
      <c r="X751" s="870"/>
      <c r="Y751" s="341">
        <f>'Kalkulace a Porovnání'!Y751</f>
        <v>2.3999896640999999E-2</v>
      </c>
      <c r="Z751" s="341">
        <f>'Kalkulace a Porovnání'!Z751</f>
        <v>0</v>
      </c>
      <c r="AA751" s="341">
        <f>'Kalkulace a Porovnání'!AA751</f>
        <v>0.100000278</v>
      </c>
      <c r="AB751" s="341">
        <f>'Kalkulace a Porovnání'!AB751</f>
        <v>0</v>
      </c>
      <c r="AC751" s="146"/>
      <c r="AD751" s="428"/>
      <c r="AG751" s="428"/>
      <c r="AH751" s="428"/>
      <c r="AI751" s="428"/>
      <c r="AJ751" s="428"/>
      <c r="AK751" s="428"/>
      <c r="AL751" s="146"/>
    </row>
    <row r="752" spans="2:38" x14ac:dyDescent="0.25">
      <c r="B752" s="12" t="s">
        <v>82</v>
      </c>
      <c r="C752" s="13" t="s">
        <v>395</v>
      </c>
      <c r="D752" s="13" t="s">
        <v>10</v>
      </c>
      <c r="E752" s="858" t="s">
        <v>410</v>
      </c>
      <c r="F752" s="859"/>
      <c r="G752" s="341">
        <f>'Kalkulace a Porovnání'!G752</f>
        <v>0</v>
      </c>
      <c r="H752" s="341">
        <f>'Kalkulace a Porovnání'!H752</f>
        <v>0</v>
      </c>
      <c r="K752" s="12" t="s">
        <v>82</v>
      </c>
      <c r="L752" s="13" t="s">
        <v>395</v>
      </c>
      <c r="M752" s="13" t="s">
        <v>10</v>
      </c>
      <c r="N752" s="858" t="s">
        <v>410</v>
      </c>
      <c r="O752" s="859"/>
      <c r="P752" s="341">
        <f>'Kalkulace a Porovnání'!P752</f>
        <v>0</v>
      </c>
      <c r="Q752" s="341">
        <f>'Kalkulace a Porovnání'!Q752</f>
        <v>0</v>
      </c>
      <c r="T752" s="12" t="s">
        <v>82</v>
      </c>
      <c r="U752" s="13" t="s">
        <v>395</v>
      </c>
      <c r="V752" s="13" t="s">
        <v>10</v>
      </c>
      <c r="W752" s="858" t="s">
        <v>410</v>
      </c>
      <c r="X752" s="859"/>
      <c r="Y752" s="341">
        <f>'Kalkulace a Porovnání'!Y752</f>
        <v>2.3999896640999999E-2</v>
      </c>
      <c r="Z752" s="341">
        <f>'Kalkulace a Porovnání'!Z752</f>
        <v>0</v>
      </c>
      <c r="AA752" s="341">
        <f>'Kalkulace a Porovnání'!AA752</f>
        <v>0.100000278</v>
      </c>
      <c r="AB752" s="341">
        <f>'Kalkulace a Porovnání'!AB752</f>
        <v>0</v>
      </c>
      <c r="AC752" s="146"/>
      <c r="AD752" s="428"/>
      <c r="AG752" s="428"/>
      <c r="AH752" s="428"/>
      <c r="AI752" s="428"/>
      <c r="AJ752" s="428"/>
      <c r="AK752" s="428"/>
      <c r="AL752" s="146"/>
    </row>
    <row r="753" spans="2:38" x14ac:dyDescent="0.25">
      <c r="B753" s="12" t="s">
        <v>83</v>
      </c>
      <c r="C753" s="13" t="s">
        <v>81</v>
      </c>
      <c r="D753" s="13" t="s">
        <v>58</v>
      </c>
      <c r="E753" s="858" t="s">
        <v>411</v>
      </c>
      <c r="F753" s="859"/>
      <c r="G753" s="341">
        <f>'Kalkulace a Porovnání'!G753</f>
        <v>0</v>
      </c>
      <c r="H753" s="341">
        <f>'Kalkulace a Porovnání'!H753</f>
        <v>0</v>
      </c>
      <c r="K753" s="12" t="s">
        <v>83</v>
      </c>
      <c r="L753" s="13" t="s">
        <v>81</v>
      </c>
      <c r="M753" s="13" t="s">
        <v>58</v>
      </c>
      <c r="N753" s="858" t="s">
        <v>411</v>
      </c>
      <c r="O753" s="859"/>
      <c r="P753" s="341">
        <f>'Kalkulace a Porovnání'!P753</f>
        <v>0</v>
      </c>
      <c r="Q753" s="341">
        <f>'Kalkulace a Porovnání'!Q753</f>
        <v>0</v>
      </c>
      <c r="T753" s="12" t="s">
        <v>83</v>
      </c>
      <c r="U753" s="13" t="s">
        <v>81</v>
      </c>
      <c r="V753" s="13" t="s">
        <v>58</v>
      </c>
      <c r="W753" s="858" t="s">
        <v>411</v>
      </c>
      <c r="X753" s="859"/>
      <c r="Y753" s="341">
        <f>'Kalkulace a Porovnání'!Y753</f>
        <v>0</v>
      </c>
      <c r="Z753" s="341">
        <f>'Kalkulace a Porovnání'!Z753</f>
        <v>0</v>
      </c>
      <c r="AA753" s="341">
        <f>'Kalkulace a Porovnání'!AA753</f>
        <v>0</v>
      </c>
      <c r="AB753" s="341">
        <f>'Kalkulace a Porovnání'!AB753</f>
        <v>0</v>
      </c>
      <c r="AC753" s="146"/>
      <c r="AD753" s="428"/>
      <c r="AG753" s="428"/>
      <c r="AH753" s="428"/>
      <c r="AI753" s="428"/>
      <c r="AJ753" s="428"/>
      <c r="AK753" s="428"/>
      <c r="AL753" s="146"/>
    </row>
    <row r="754" spans="2:38" x14ac:dyDescent="0.25">
      <c r="B754" s="12" t="s">
        <v>155</v>
      </c>
      <c r="C754" s="13" t="s">
        <v>393</v>
      </c>
      <c r="D754" s="13" t="s">
        <v>73</v>
      </c>
      <c r="E754" s="854" t="s">
        <v>412</v>
      </c>
      <c r="F754" s="855"/>
      <c r="G754" s="138">
        <f>'Kalkulace a Porovnání'!G754</f>
        <v>0</v>
      </c>
      <c r="H754" s="138">
        <f>'Kalkulace a Porovnání'!H754</f>
        <v>0</v>
      </c>
      <c r="K754" s="12" t="s">
        <v>155</v>
      </c>
      <c r="L754" s="13" t="s">
        <v>393</v>
      </c>
      <c r="M754" s="13" t="s">
        <v>73</v>
      </c>
      <c r="N754" s="854" t="s">
        <v>412</v>
      </c>
      <c r="O754" s="855"/>
      <c r="P754" s="138">
        <f>'Kalkulace a Porovnání'!P754</f>
        <v>0</v>
      </c>
      <c r="Q754" s="138">
        <f>'Kalkulace a Porovnání'!Q754</f>
        <v>0</v>
      </c>
      <c r="T754" s="12" t="s">
        <v>155</v>
      </c>
      <c r="U754" s="13" t="s">
        <v>393</v>
      </c>
      <c r="V754" s="13" t="s">
        <v>73</v>
      </c>
      <c r="W754" s="854" t="s">
        <v>412</v>
      </c>
      <c r="X754" s="855"/>
      <c r="Y754" s="138">
        <f>'Kalkulace a Porovnání'!Y754</f>
        <v>0</v>
      </c>
      <c r="Z754" s="138">
        <f>'Kalkulace a Porovnání'!Z754</f>
        <v>0</v>
      </c>
      <c r="AA754" s="138">
        <f>'Kalkulace a Porovnání'!AA754</f>
        <v>0</v>
      </c>
      <c r="AB754" s="138">
        <f>'Kalkulace a Porovnání'!AB754</f>
        <v>0</v>
      </c>
      <c r="AC754" s="146"/>
      <c r="AD754" s="428"/>
      <c r="AG754" s="428"/>
      <c r="AH754" s="428"/>
      <c r="AI754" s="428"/>
      <c r="AJ754" s="428"/>
      <c r="AK754" s="428"/>
      <c r="AL754" s="146"/>
    </row>
    <row r="755" spans="2:38" x14ac:dyDescent="0.25">
      <c r="B755" s="12" t="s">
        <v>355</v>
      </c>
      <c r="C755" s="13" t="str">
        <f>CONCATENATE("UPLATŇOVANÁ CENA pro vodné, stočné + ",Provozování!E729*100,"% DPH")</f>
        <v>UPLATŇOVANÁ CENA pro vodné, stočné + 0% DPH</v>
      </c>
      <c r="D755" s="13" t="s">
        <v>73</v>
      </c>
      <c r="E755" s="854" t="s">
        <v>413</v>
      </c>
      <c r="F755" s="855"/>
      <c r="G755" s="138">
        <f>'Kalkulace a Porovnání'!G755</f>
        <v>0</v>
      </c>
      <c r="H755" s="138">
        <f>'Kalkulace a Porovnání'!H755</f>
        <v>0</v>
      </c>
      <c r="K755" s="12" t="s">
        <v>355</v>
      </c>
      <c r="L755" s="13" t="str">
        <f>C755</f>
        <v>UPLATŇOVANÁ CENA pro vodné, stočné + 0% DPH</v>
      </c>
      <c r="M755" s="13" t="s">
        <v>73</v>
      </c>
      <c r="N755" s="854" t="s">
        <v>413</v>
      </c>
      <c r="O755" s="855"/>
      <c r="P755" s="138">
        <f>'Kalkulace a Porovnání'!P755</f>
        <v>0</v>
      </c>
      <c r="Q755" s="138">
        <f>'Kalkulace a Porovnání'!Q755</f>
        <v>0</v>
      </c>
      <c r="T755" s="12" t="s">
        <v>355</v>
      </c>
      <c r="U755" s="13" t="str">
        <f>C755</f>
        <v>UPLATŇOVANÁ CENA pro vodné, stočné + 0% DPH</v>
      </c>
      <c r="V755" s="13" t="s">
        <v>73</v>
      </c>
      <c r="W755" s="854" t="s">
        <v>413</v>
      </c>
      <c r="X755" s="855"/>
      <c r="Y755" s="138">
        <f>'Kalkulace a Porovnání'!Y755</f>
        <v>0</v>
      </c>
      <c r="Z755" s="138">
        <f>'Kalkulace a Porovnání'!Z755</f>
        <v>0</v>
      </c>
      <c r="AA755" s="138">
        <f>'Kalkulace a Porovnání'!AA755</f>
        <v>0</v>
      </c>
      <c r="AB755" s="138">
        <f>'Kalkulace a Porovnání'!AB755</f>
        <v>0</v>
      </c>
      <c r="AC755" s="146"/>
      <c r="AD755" s="428"/>
      <c r="AG755" s="428"/>
      <c r="AH755" s="428"/>
      <c r="AI755" s="428"/>
      <c r="AJ755" s="428"/>
      <c r="AK755" s="428"/>
      <c r="AL755" s="146"/>
    </row>
    <row r="756" spans="2:38" x14ac:dyDescent="0.25">
      <c r="B756" s="210" t="s">
        <v>356</v>
      </c>
      <c r="C756" s="244" t="s">
        <v>357</v>
      </c>
      <c r="D756" s="244"/>
      <c r="E756" s="884" t="s">
        <v>414</v>
      </c>
      <c r="F756" s="869"/>
      <c r="G756" s="138">
        <f>'Kalkulace a Porovnání'!G756</f>
        <v>0</v>
      </c>
      <c r="H756" s="138">
        <f>'Kalkulace a Porovnání'!H756</f>
        <v>0</v>
      </c>
      <c r="K756" s="210" t="s">
        <v>356</v>
      </c>
      <c r="L756" s="244" t="s">
        <v>357</v>
      </c>
      <c r="M756" s="244"/>
      <c r="N756" s="884" t="s">
        <v>414</v>
      </c>
      <c r="O756" s="869"/>
      <c r="P756" s="138">
        <f>'Kalkulace a Porovnání'!P756</f>
        <v>0</v>
      </c>
      <c r="Q756" s="138">
        <f>'Kalkulace a Porovnání'!Q756</f>
        <v>0</v>
      </c>
      <c r="T756" s="12" t="s">
        <v>356</v>
      </c>
      <c r="U756" s="13" t="s">
        <v>357</v>
      </c>
      <c r="V756" s="13"/>
      <c r="W756" s="884" t="s">
        <v>414</v>
      </c>
      <c r="X756" s="869"/>
      <c r="Y756" s="530">
        <f>'Kalkulace a Porovnání'!Y756</f>
        <v>0</v>
      </c>
      <c r="Z756" s="530">
        <f>'Kalkulace a Porovnání'!Z756</f>
        <v>0</v>
      </c>
      <c r="AA756" s="530">
        <f>'Kalkulace a Porovnání'!AA756</f>
        <v>0</v>
      </c>
      <c r="AB756" s="530">
        <f>'Kalkulace a Porovnání'!AB756</f>
        <v>0</v>
      </c>
      <c r="AC756" s="146"/>
      <c r="AD756" s="428"/>
      <c r="AG756" s="428"/>
      <c r="AH756" s="428"/>
      <c r="AI756" s="428"/>
      <c r="AJ756" s="428"/>
      <c r="AK756" s="428"/>
      <c r="AL756" s="146"/>
    </row>
    <row r="757" spans="2:38" x14ac:dyDescent="0.25">
      <c r="B757" s="29"/>
      <c r="C757" s="29"/>
      <c r="D757" s="29"/>
      <c r="E757" s="29"/>
      <c r="F757" s="29"/>
      <c r="G757" s="29"/>
      <c r="H757" s="29"/>
      <c r="I757" s="29"/>
      <c r="J757" s="29"/>
      <c r="K757" s="29"/>
      <c r="L757" s="29"/>
      <c r="M757" s="29"/>
      <c r="N757" s="29"/>
      <c r="O757" s="29"/>
      <c r="P757" s="29"/>
      <c r="Q757" s="29"/>
      <c r="R757" s="29"/>
      <c r="T757" s="1121" t="s">
        <v>364</v>
      </c>
      <c r="U757" s="1121" t="s">
        <v>154</v>
      </c>
      <c r="V757" s="1122" t="s">
        <v>10</v>
      </c>
      <c r="W757" s="854" t="s">
        <v>156</v>
      </c>
      <c r="X757" s="858"/>
      <c r="Y757" s="89" t="s">
        <v>158</v>
      </c>
      <c r="Z757" s="92" t="s">
        <v>159</v>
      </c>
      <c r="AA757" s="89" t="s">
        <v>158</v>
      </c>
      <c r="AB757" s="92" t="s">
        <v>159</v>
      </c>
      <c r="AC757" s="146"/>
      <c r="AD757" s="428"/>
      <c r="AG757" s="428"/>
      <c r="AH757" s="428"/>
      <c r="AI757" s="428"/>
      <c r="AJ757" s="428"/>
      <c r="AK757" s="428"/>
      <c r="AL757" s="146"/>
    </row>
    <row r="758" spans="2:38" x14ac:dyDescent="0.25">
      <c r="B758" s="383"/>
      <c r="C758" s="382"/>
      <c r="D758" s="382"/>
      <c r="E758" s="382"/>
      <c r="F758" s="382"/>
      <c r="G758" s="29"/>
      <c r="H758" s="29"/>
      <c r="I758" s="29"/>
      <c r="J758" s="29"/>
      <c r="K758" s="29"/>
      <c r="L758" s="29"/>
      <c r="M758" s="29"/>
      <c r="N758" s="29"/>
      <c r="O758" s="29"/>
      <c r="P758" s="29"/>
      <c r="Q758" s="29"/>
      <c r="R758" s="29"/>
      <c r="T758" s="1121"/>
      <c r="U758" s="1121"/>
      <c r="V758" s="1122"/>
      <c r="W758" s="1123">
        <f>'Kalkulace a Porovnání'!W758</f>
        <v>0</v>
      </c>
      <c r="X758" s="1124"/>
      <c r="Y758" s="90">
        <f>'Kalkulace a Porovnání'!Y758</f>
        <v>2033</v>
      </c>
      <c r="Z758" s="90">
        <f>'Kalkulace a Porovnání'!Z758</f>
        <v>2033</v>
      </c>
      <c r="AA758" s="90">
        <f>'Kalkulace a Porovnání'!AA758</f>
        <v>2033</v>
      </c>
      <c r="AB758" s="90">
        <f>'Kalkulace a Porovnání'!AB758</f>
        <v>2033</v>
      </c>
      <c r="AC758" s="146"/>
      <c r="AD758" s="428"/>
      <c r="AG758" s="428"/>
      <c r="AH758" s="428"/>
      <c r="AI758" s="428"/>
      <c r="AJ758" s="428"/>
      <c r="AK758" s="428"/>
      <c r="AL758" s="146"/>
    </row>
    <row r="759" spans="2:38" x14ac:dyDescent="0.25">
      <c r="B759" s="383"/>
      <c r="C759" s="382"/>
      <c r="D759" s="382"/>
      <c r="E759" s="382"/>
      <c r="F759" s="382"/>
      <c r="G759" s="29"/>
      <c r="H759" s="29"/>
      <c r="I759" s="29"/>
      <c r="J759" s="29"/>
      <c r="K759" s="29"/>
      <c r="L759" s="29"/>
      <c r="M759" s="29"/>
      <c r="N759" s="29"/>
      <c r="O759" s="29"/>
      <c r="P759" s="29"/>
      <c r="Q759" s="29"/>
      <c r="R759" s="29"/>
      <c r="T759" s="1121"/>
      <c r="U759" s="1121"/>
      <c r="V759" s="1122"/>
      <c r="W759" s="854" t="s">
        <v>157</v>
      </c>
      <c r="X759" s="858"/>
      <c r="Y759" s="91" t="s">
        <v>160</v>
      </c>
      <c r="Z759" s="91" t="s">
        <v>160</v>
      </c>
      <c r="AA759" s="91" t="s">
        <v>161</v>
      </c>
      <c r="AB759" s="91" t="s">
        <v>161</v>
      </c>
      <c r="AC759" s="146"/>
      <c r="AD759" s="428"/>
      <c r="AG759" s="428"/>
      <c r="AH759" s="428"/>
      <c r="AI759" s="428"/>
      <c r="AJ759" s="428"/>
      <c r="AK759" s="428"/>
      <c r="AL759" s="146"/>
    </row>
    <row r="760" spans="2:38" x14ac:dyDescent="0.25">
      <c r="B760" s="382"/>
      <c r="C760" s="382"/>
      <c r="D760" s="382"/>
      <c r="E760" s="382"/>
      <c r="F760" s="382"/>
      <c r="G760" s="29"/>
      <c r="H760" s="29"/>
      <c r="I760" s="29"/>
      <c r="J760" s="29"/>
      <c r="K760" s="29"/>
      <c r="L760" s="29"/>
      <c r="M760" s="29"/>
      <c r="N760" s="29"/>
      <c r="O760" s="29"/>
      <c r="P760" s="29"/>
      <c r="Q760" s="29"/>
      <c r="R760" s="29"/>
      <c r="T760" s="1121"/>
      <c r="U760" s="1121"/>
      <c r="V760" s="1122"/>
      <c r="W760" s="1125">
        <f>'Kalkulace a Porovnání'!W760</f>
        <v>0</v>
      </c>
      <c r="X760" s="1125"/>
      <c r="Y760" s="341">
        <f>'Kalkulace a Porovnání'!Y760</f>
        <v>0</v>
      </c>
      <c r="Z760" s="341">
        <f>'Kalkulace a Porovnání'!Z760</f>
        <v>0</v>
      </c>
      <c r="AA760" s="341">
        <f>'Kalkulace a Porovnání'!AA760</f>
        <v>0</v>
      </c>
      <c r="AB760" s="341">
        <f>'Kalkulace a Porovnání'!AB760</f>
        <v>0</v>
      </c>
      <c r="AC760" s="146"/>
      <c r="AD760" s="428"/>
      <c r="AG760" s="428"/>
      <c r="AH760" s="428"/>
      <c r="AI760" s="428"/>
      <c r="AJ760" s="428"/>
      <c r="AK760" s="428"/>
      <c r="AL760" s="146"/>
    </row>
    <row r="761" spans="2:38" x14ac:dyDescent="0.25">
      <c r="B761" s="29"/>
      <c r="AC761" s="146"/>
      <c r="AD761" s="428"/>
      <c r="AG761" s="428"/>
      <c r="AH761" s="428"/>
      <c r="AI761" s="428"/>
      <c r="AJ761" s="428"/>
      <c r="AK761" s="428"/>
      <c r="AL761" s="146"/>
    </row>
    <row r="762" spans="2:38" x14ac:dyDescent="0.25">
      <c r="B762" s="899" t="s">
        <v>316</v>
      </c>
      <c r="C762" s="900"/>
      <c r="D762" s="900"/>
      <c r="E762" s="900"/>
      <c r="F762" s="900"/>
      <c r="G762" s="900"/>
      <c r="H762" s="900"/>
      <c r="K762" s="899" t="s">
        <v>317</v>
      </c>
      <c r="L762" s="900"/>
      <c r="M762" s="900"/>
      <c r="N762" s="900"/>
      <c r="O762" s="900"/>
      <c r="P762" s="900"/>
      <c r="Q762" s="900"/>
      <c r="T762" s="899" t="s">
        <v>162</v>
      </c>
      <c r="U762" s="900"/>
      <c r="V762" s="900"/>
      <c r="W762" s="900"/>
      <c r="X762" s="900"/>
      <c r="Y762" s="900"/>
      <c r="Z762" s="900"/>
      <c r="AA762" s="900"/>
      <c r="AB762" s="900"/>
      <c r="AC762" s="146"/>
      <c r="AD762" s="428"/>
      <c r="AG762" s="428"/>
      <c r="AH762" s="428"/>
      <c r="AI762" s="428"/>
      <c r="AJ762" s="428"/>
      <c r="AK762" s="428"/>
      <c r="AL762" s="146"/>
    </row>
    <row r="763" spans="2:38" x14ac:dyDescent="0.25">
      <c r="C763" s="272"/>
      <c r="E763" s="25"/>
      <c r="F763" s="25"/>
      <c r="L763" s="25"/>
      <c r="N763" s="25"/>
      <c r="T763" s="1079" t="s">
        <v>318</v>
      </c>
      <c r="U763" s="1079"/>
      <c r="V763" s="1079"/>
      <c r="W763" s="1079"/>
      <c r="X763" s="1079"/>
      <c r="Y763" s="1079"/>
      <c r="Z763" s="1079"/>
      <c r="AA763" s="1079"/>
      <c r="AB763" s="1079"/>
      <c r="AC763" s="146"/>
      <c r="AD763" s="428"/>
      <c r="AG763" s="428"/>
      <c r="AH763" s="428"/>
      <c r="AI763" s="428"/>
      <c r="AJ763" s="428"/>
      <c r="AK763" s="428"/>
      <c r="AL763" s="146"/>
    </row>
    <row r="764" spans="2:38" x14ac:dyDescent="0.25">
      <c r="C764" s="272" t="s">
        <v>103</v>
      </c>
      <c r="D764" s="274">
        <f>'Kalkulace a Porovnání'!D764</f>
        <v>2034</v>
      </c>
      <c r="E764" s="25"/>
      <c r="F764" s="272" t="s">
        <v>221</v>
      </c>
      <c r="G764" s="275" t="str">
        <f>'Kalkulace a Porovnání'!G764</f>
        <v>-</v>
      </c>
      <c r="H764" s="275" t="str">
        <f>'Kalkulace a Porovnání'!H764</f>
        <v xml:space="preserve"> </v>
      </c>
      <c r="L764" s="272" t="s">
        <v>103</v>
      </c>
      <c r="M764" s="274">
        <f>'Kalkulace a Porovnání'!M764</f>
        <v>2034</v>
      </c>
      <c r="O764" s="272" t="s">
        <v>221</v>
      </c>
      <c r="P764" s="275" t="str">
        <f>'Kalkulace a Porovnání'!P764</f>
        <v>-</v>
      </c>
      <c r="Q764" s="275" t="str">
        <f>'Kalkulace a Porovnání'!Q764</f>
        <v xml:space="preserve"> </v>
      </c>
      <c r="T764" s="333"/>
      <c r="U764" s="333"/>
      <c r="V764" s="342" t="s">
        <v>147</v>
      </c>
      <c r="W764" s="274">
        <f>'Kalkulace a Porovnání'!W764</f>
        <v>2034</v>
      </c>
      <c r="Z764" s="272" t="s">
        <v>221</v>
      </c>
      <c r="AA764" s="275" t="str">
        <f>'Kalkulace a Porovnání'!AA764</f>
        <v>-</v>
      </c>
      <c r="AB764" s="275" t="str">
        <f>'Kalkulace a Porovnání'!AB764</f>
        <v xml:space="preserve"> </v>
      </c>
      <c r="AC764" s="146"/>
      <c r="AD764" s="428"/>
      <c r="AG764" s="428"/>
      <c r="AH764" s="428"/>
      <c r="AI764" s="428"/>
      <c r="AJ764" s="428"/>
      <c r="AK764" s="428"/>
      <c r="AL764" s="146"/>
    </row>
    <row r="765" spans="2:38" x14ac:dyDescent="0.25">
      <c r="B765" s="13" t="s">
        <v>66</v>
      </c>
      <c r="C765" s="13" t="s">
        <v>89</v>
      </c>
      <c r="D765" s="1061" t="str">
        <f>'Kalkulace a Porovnání'!D765</f>
        <v>PRVOK s.r.o., IČ 281 28 257</v>
      </c>
      <c r="E765" s="1062"/>
      <c r="F765" s="1062"/>
      <c r="G765" s="1062"/>
      <c r="H765" s="1063"/>
      <c r="K765" s="13" t="s">
        <v>66</v>
      </c>
      <c r="L765" s="13" t="s">
        <v>89</v>
      </c>
      <c r="M765" s="1061" t="str">
        <f>'Kalkulace a Porovnání'!M765</f>
        <v>PRVOK s.r.o., IČ 281 28 257</v>
      </c>
      <c r="N765" s="1062"/>
      <c r="O765" s="1062"/>
      <c r="P765" s="1062"/>
      <c r="Q765" s="1063"/>
      <c r="T765" s="13" t="s">
        <v>66</v>
      </c>
      <c r="U765" s="13" t="s">
        <v>89</v>
      </c>
      <c r="V765" s="1080" t="str">
        <f>'Kalkulace a Porovnání'!V765</f>
        <v>PRVOK s.r.o., IČ 281 28 257</v>
      </c>
      <c r="W765" s="1081"/>
      <c r="X765" s="1081"/>
      <c r="Y765" s="1081"/>
      <c r="Z765" s="1081"/>
      <c r="AA765" s="1081"/>
      <c r="AB765" s="1081"/>
      <c r="AC765" s="146"/>
      <c r="AD765" s="428"/>
      <c r="AG765" s="252"/>
      <c r="AH765" s="252"/>
      <c r="AI765" s="252"/>
      <c r="AJ765" s="252"/>
      <c r="AK765" s="428"/>
      <c r="AL765" s="146"/>
    </row>
    <row r="766" spans="2:38" x14ac:dyDescent="0.25">
      <c r="B766" s="13" t="s">
        <v>84</v>
      </c>
      <c r="C766" s="13" t="s">
        <v>90</v>
      </c>
      <c r="D766" s="1061" t="str">
        <f>'Kalkulace a Porovnání'!D766</f>
        <v>PRVOK s.r.o., IČ 281 28 257</v>
      </c>
      <c r="E766" s="1062"/>
      <c r="F766" s="1062"/>
      <c r="G766" s="1062"/>
      <c r="H766" s="1063"/>
      <c r="K766" s="13" t="s">
        <v>84</v>
      </c>
      <c r="L766" s="13" t="s">
        <v>90</v>
      </c>
      <c r="M766" s="1061" t="str">
        <f>'Kalkulace a Porovnání'!M766</f>
        <v>PRVOK s.r.o., IČ 281 28 257</v>
      </c>
      <c r="N766" s="1062"/>
      <c r="O766" s="1062"/>
      <c r="P766" s="1062"/>
      <c r="Q766" s="1063"/>
      <c r="T766" s="13" t="s">
        <v>84</v>
      </c>
      <c r="U766" s="13" t="s">
        <v>90</v>
      </c>
      <c r="V766" s="1080" t="str">
        <f>'Kalkulace a Porovnání'!V766</f>
        <v>PRVOK s.r.o., IČ 281 28 257</v>
      </c>
      <c r="W766" s="1081"/>
      <c r="X766" s="1081"/>
      <c r="Y766" s="1081"/>
      <c r="Z766" s="1081"/>
      <c r="AA766" s="1081"/>
      <c r="AB766" s="1081"/>
      <c r="AC766" s="146"/>
      <c r="AD766" s="428"/>
      <c r="AG766" s="252"/>
      <c r="AH766" s="252"/>
      <c r="AI766" s="252"/>
      <c r="AJ766" s="252"/>
      <c r="AK766" s="428"/>
      <c r="AL766" s="146"/>
    </row>
    <row r="767" spans="2:38" x14ac:dyDescent="0.25">
      <c r="B767" s="13" t="s">
        <v>85</v>
      </c>
      <c r="C767" s="13" t="s">
        <v>91</v>
      </c>
      <c r="D767" s="1061" t="str">
        <f>'Kalkulace a Porovnání'!D767</f>
        <v>Obec Benešov nad Černou, IČ 00245780</v>
      </c>
      <c r="E767" s="1062"/>
      <c r="F767" s="1062"/>
      <c r="G767" s="1062"/>
      <c r="H767" s="1063"/>
      <c r="K767" s="13" t="s">
        <v>85</v>
      </c>
      <c r="L767" s="13" t="s">
        <v>91</v>
      </c>
      <c r="M767" s="1061" t="str">
        <f>'Kalkulace a Porovnání'!M767</f>
        <v>Obec Benešov nad Černou, IČ 00245780</v>
      </c>
      <c r="N767" s="1062"/>
      <c r="O767" s="1062"/>
      <c r="P767" s="1062"/>
      <c r="Q767" s="1063"/>
      <c r="T767" s="13" t="s">
        <v>85</v>
      </c>
      <c r="U767" s="13" t="s">
        <v>91</v>
      </c>
      <c r="V767" s="1080" t="str">
        <f>'Kalkulace a Porovnání'!V767</f>
        <v>Obec Benešov nad Černou, IČ 00245780</v>
      </c>
      <c r="W767" s="1081"/>
      <c r="X767" s="1081"/>
      <c r="Y767" s="1081"/>
      <c r="Z767" s="1081"/>
      <c r="AA767" s="1081"/>
      <c r="AB767" s="1081"/>
      <c r="AC767" s="146"/>
      <c r="AD767" s="428"/>
      <c r="AG767" s="252"/>
      <c r="AH767" s="252"/>
      <c r="AI767" s="252"/>
      <c r="AJ767" s="252"/>
      <c r="AK767" s="428"/>
      <c r="AL767" s="146"/>
    </row>
    <row r="768" spans="2:38" x14ac:dyDescent="0.25">
      <c r="B768" s="13" t="s">
        <v>86</v>
      </c>
      <c r="C768" s="13" t="s">
        <v>93</v>
      </c>
      <c r="D768" s="1061" t="str">
        <f>'Kalkulace a Porovnání'!D768</f>
        <v>A</v>
      </c>
      <c r="E768" s="1062"/>
      <c r="F768" s="1062"/>
      <c r="G768" s="1062"/>
      <c r="H768" s="1063"/>
      <c r="K768" s="13" t="s">
        <v>86</v>
      </c>
      <c r="L768" s="13" t="s">
        <v>93</v>
      </c>
      <c r="M768" s="1061" t="str">
        <f>'Kalkulace a Porovnání'!M768</f>
        <v>A</v>
      </c>
      <c r="N768" s="1062"/>
      <c r="O768" s="1062"/>
      <c r="P768" s="1062"/>
      <c r="Q768" s="1063"/>
      <c r="T768" s="13" t="s">
        <v>86</v>
      </c>
      <c r="U768" s="13" t="s">
        <v>93</v>
      </c>
      <c r="V768" s="1080" t="str">
        <f>'Kalkulace a Porovnání'!V768</f>
        <v>A</v>
      </c>
      <c r="W768" s="1081"/>
      <c r="X768" s="1081"/>
      <c r="Y768" s="1081"/>
      <c r="Z768" s="1081"/>
      <c r="AA768" s="1081"/>
      <c r="AB768" s="1081"/>
      <c r="AC768" s="146"/>
      <c r="AD768" s="428"/>
      <c r="AG768" s="252"/>
      <c r="AH768" s="252"/>
      <c r="AI768" s="252"/>
      <c r="AJ768" s="252"/>
      <c r="AK768" s="428"/>
      <c r="AL768" s="146"/>
    </row>
    <row r="769" spans="2:38" x14ac:dyDescent="0.25">
      <c r="B769" s="13" t="s">
        <v>87</v>
      </c>
      <c r="C769" s="13" t="s">
        <v>92</v>
      </c>
      <c r="D769" s="1061">
        <f>'Kalkulace a Porovnání'!D769</f>
        <v>1</v>
      </c>
      <c r="E769" s="1062"/>
      <c r="F769" s="1062"/>
      <c r="G769" s="1062"/>
      <c r="H769" s="1063"/>
      <c r="K769" s="13" t="s">
        <v>87</v>
      </c>
      <c r="L769" s="13" t="s">
        <v>92</v>
      </c>
      <c r="M769" s="1061">
        <f>'Kalkulace a Porovnání'!M769</f>
        <v>1</v>
      </c>
      <c r="N769" s="1062"/>
      <c r="O769" s="1062"/>
      <c r="P769" s="1062"/>
      <c r="Q769" s="1063"/>
      <c r="T769" s="13" t="s">
        <v>87</v>
      </c>
      <c r="U769" s="13" t="s">
        <v>92</v>
      </c>
      <c r="V769" s="1080">
        <f>'Kalkulace a Porovnání'!V769</f>
        <v>1</v>
      </c>
      <c r="W769" s="1081"/>
      <c r="X769" s="1081"/>
      <c r="Y769" s="1081"/>
      <c r="Z769" s="1081"/>
      <c r="AA769" s="1081"/>
      <c r="AB769" s="1081"/>
      <c r="AC769" s="146"/>
      <c r="AD769" s="428"/>
      <c r="AG769" s="252"/>
      <c r="AH769" s="252"/>
      <c r="AI769" s="252"/>
      <c r="AJ769" s="252"/>
      <c r="AK769" s="428"/>
      <c r="AL769" s="146"/>
    </row>
    <row r="770" spans="2:38" x14ac:dyDescent="0.25">
      <c r="B770" s="13" t="s">
        <v>88</v>
      </c>
      <c r="C770" s="13" t="s">
        <v>94</v>
      </c>
      <c r="D770" s="1061" t="str">
        <f>'Kalkulace a Porovnání'!D770</f>
        <v>[vyplnit]</v>
      </c>
      <c r="E770" s="1062"/>
      <c r="F770" s="1062"/>
      <c r="G770" s="1062"/>
      <c r="H770" s="1063"/>
      <c r="K770" s="13" t="s">
        <v>88</v>
      </c>
      <c r="L770" s="13" t="s">
        <v>94</v>
      </c>
      <c r="M770" s="1061" t="str">
        <f>'Kalkulace a Porovnání'!M770</f>
        <v xml:space="preserve"> </v>
      </c>
      <c r="N770" s="1062"/>
      <c r="O770" s="1062"/>
      <c r="P770" s="1062"/>
      <c r="Q770" s="1063"/>
      <c r="T770" s="13" t="s">
        <v>88</v>
      </c>
      <c r="U770" s="13" t="s">
        <v>94</v>
      </c>
      <c r="V770" s="1080" t="str">
        <f>'Kalkulace a Porovnání'!V770</f>
        <v xml:space="preserve"> </v>
      </c>
      <c r="W770" s="1081"/>
      <c r="X770" s="1081"/>
      <c r="Y770" s="1081"/>
      <c r="Z770" s="1081"/>
      <c r="AA770" s="1081"/>
      <c r="AB770" s="1081"/>
      <c r="AC770" s="146"/>
      <c r="AD770" s="428"/>
      <c r="AG770" s="252"/>
      <c r="AH770" s="252"/>
      <c r="AI770" s="252"/>
      <c r="AJ770" s="252"/>
      <c r="AK770" s="428"/>
      <c r="AL770" s="146"/>
    </row>
    <row r="771" spans="2:38" x14ac:dyDescent="0.25">
      <c r="AC771" s="146"/>
      <c r="AD771" s="428"/>
      <c r="AG771" s="252"/>
      <c r="AH771" s="252"/>
      <c r="AI771" s="252"/>
      <c r="AJ771" s="252"/>
      <c r="AK771" s="428"/>
      <c r="AL771" s="146"/>
    </row>
    <row r="772" spans="2:38" x14ac:dyDescent="0.25">
      <c r="B772" s="1052" t="s">
        <v>5</v>
      </c>
      <c r="C772" s="884" t="s">
        <v>0</v>
      </c>
      <c r="D772" s="868"/>
      <c r="E772" s="868"/>
      <c r="F772" s="868"/>
      <c r="G772" s="868"/>
      <c r="H772" s="869"/>
      <c r="K772" s="1052" t="s">
        <v>5</v>
      </c>
      <c r="L772" s="884" t="s">
        <v>0</v>
      </c>
      <c r="M772" s="868"/>
      <c r="N772" s="868"/>
      <c r="O772" s="868"/>
      <c r="P772" s="868"/>
      <c r="Q772" s="869"/>
      <c r="T772" s="1052" t="s">
        <v>5</v>
      </c>
      <c r="U772" s="884" t="s">
        <v>0</v>
      </c>
      <c r="V772" s="868"/>
      <c r="W772" s="868"/>
      <c r="X772" s="868"/>
      <c r="Y772" s="868"/>
      <c r="Z772" s="868"/>
      <c r="AA772" s="868"/>
      <c r="AB772" s="869"/>
      <c r="AC772" s="146"/>
      <c r="AD772" s="428"/>
      <c r="AG772" s="252"/>
      <c r="AH772" s="252"/>
      <c r="AI772" s="252"/>
      <c r="AJ772" s="252"/>
      <c r="AK772" s="428"/>
      <c r="AL772" s="146"/>
    </row>
    <row r="773" spans="2:38" x14ac:dyDescent="0.25">
      <c r="B773" s="1053"/>
      <c r="C773" s="1052" t="s">
        <v>1</v>
      </c>
      <c r="D773" s="1065" t="s">
        <v>133</v>
      </c>
      <c r="E773" s="884" t="s">
        <v>3</v>
      </c>
      <c r="F773" s="868"/>
      <c r="G773" s="884" t="s">
        <v>4</v>
      </c>
      <c r="H773" s="869"/>
      <c r="K773" s="1053"/>
      <c r="L773" s="1052" t="s">
        <v>1</v>
      </c>
      <c r="M773" s="1065" t="s">
        <v>133</v>
      </c>
      <c r="N773" s="884" t="s">
        <v>3</v>
      </c>
      <c r="O773" s="868"/>
      <c r="P773" s="884" t="s">
        <v>4</v>
      </c>
      <c r="Q773" s="869"/>
      <c r="T773" s="1053"/>
      <c r="U773" s="1052" t="s">
        <v>1</v>
      </c>
      <c r="V773" s="1065" t="s">
        <v>133</v>
      </c>
      <c r="W773" s="884" t="s">
        <v>3</v>
      </c>
      <c r="X773" s="868"/>
      <c r="Y773" s="868"/>
      <c r="Z773" s="884" t="s">
        <v>4</v>
      </c>
      <c r="AA773" s="868"/>
      <c r="AB773" s="869"/>
      <c r="AC773" s="146"/>
      <c r="AD773" s="428"/>
      <c r="AG773" s="252"/>
      <c r="AH773" s="252"/>
      <c r="AI773" s="252"/>
      <c r="AJ773" s="252"/>
      <c r="AK773" s="428"/>
      <c r="AL773" s="146"/>
    </row>
    <row r="774" spans="2:38" x14ac:dyDescent="0.25">
      <c r="B774" s="1053"/>
      <c r="C774" s="1053"/>
      <c r="D774" s="1053"/>
      <c r="E774" s="28">
        <f>'Kalkulace a Porovnání'!E774</f>
        <v>2033</v>
      </c>
      <c r="F774" s="28">
        <f>'Kalkulace a Porovnání'!F774</f>
        <v>2034</v>
      </c>
      <c r="G774" s="28">
        <f>'Kalkulace a Porovnání'!G774</f>
        <v>2033</v>
      </c>
      <c r="H774" s="28">
        <f>'Kalkulace a Porovnání'!H774</f>
        <v>2034</v>
      </c>
      <c r="K774" s="1053"/>
      <c r="L774" s="1053"/>
      <c r="M774" s="1053"/>
      <c r="N774" s="28">
        <f>'Kalkulace a Porovnání'!N774</f>
        <v>2033</v>
      </c>
      <c r="O774" s="28">
        <f>'Kalkulace a Porovnání'!O774</f>
        <v>2034</v>
      </c>
      <c r="P774" s="28">
        <f>'Kalkulace a Porovnání'!P774</f>
        <v>2033</v>
      </c>
      <c r="Q774" s="28">
        <f>'Kalkulace a Porovnání'!Q774</f>
        <v>2034</v>
      </c>
      <c r="T774" s="1053"/>
      <c r="U774" s="1053"/>
      <c r="V774" s="1053"/>
      <c r="W774" s="28">
        <f>'Kalkulace a Porovnání'!W774</f>
        <v>2034</v>
      </c>
      <c r="X774" s="28">
        <f>'Kalkulace a Porovnání'!X774</f>
        <v>2034</v>
      </c>
      <c r="Y774" s="28">
        <f>'Kalkulace a Porovnání'!Y774</f>
        <v>2034</v>
      </c>
      <c r="Z774" s="28">
        <f>'Kalkulace a Porovnání'!Z774</f>
        <v>2034</v>
      </c>
      <c r="AA774" s="28">
        <f>'Kalkulace a Porovnání'!AA774</f>
        <v>2034</v>
      </c>
      <c r="AB774" s="28">
        <f>'Kalkulace a Porovnání'!AB774</f>
        <v>2034</v>
      </c>
      <c r="AC774" s="146"/>
      <c r="AD774" s="428"/>
      <c r="AG774" s="252"/>
      <c r="AH774" s="252"/>
      <c r="AI774" s="252"/>
      <c r="AJ774" s="252"/>
      <c r="AK774" s="428"/>
      <c r="AL774" s="146"/>
    </row>
    <row r="775" spans="2:38" x14ac:dyDescent="0.25">
      <c r="B775" s="1054"/>
      <c r="C775" s="1054"/>
      <c r="D775" s="1054"/>
      <c r="E775" s="7" t="s">
        <v>151</v>
      </c>
      <c r="F775" s="7" t="s">
        <v>98</v>
      </c>
      <c r="G775" s="7" t="s">
        <v>151</v>
      </c>
      <c r="H775" s="19" t="s">
        <v>98</v>
      </c>
      <c r="K775" s="1054"/>
      <c r="L775" s="1054"/>
      <c r="M775" s="1054"/>
      <c r="N775" s="7" t="s">
        <v>151</v>
      </c>
      <c r="O775" s="7" t="s">
        <v>98</v>
      </c>
      <c r="P775" s="7" t="s">
        <v>151</v>
      </c>
      <c r="Q775" s="19" t="s">
        <v>98</v>
      </c>
      <c r="T775" s="1054"/>
      <c r="U775" s="1054"/>
      <c r="V775" s="1054"/>
      <c r="W775" s="7" t="s">
        <v>150</v>
      </c>
      <c r="X775" s="7" t="s">
        <v>98</v>
      </c>
      <c r="Y775" s="7" t="s">
        <v>149</v>
      </c>
      <c r="Z775" s="7" t="s">
        <v>150</v>
      </c>
      <c r="AA775" s="7" t="s">
        <v>98</v>
      </c>
      <c r="AB775" s="19" t="s">
        <v>149</v>
      </c>
      <c r="AC775" s="146"/>
      <c r="AD775" s="428"/>
      <c r="AG775" s="252"/>
      <c r="AH775" s="252"/>
      <c r="AI775" s="252"/>
      <c r="AJ775" s="252"/>
      <c r="AK775" s="428"/>
      <c r="AL775" s="146"/>
    </row>
    <row r="776" spans="2:38" x14ac:dyDescent="0.25">
      <c r="B776" s="11">
        <v>1</v>
      </c>
      <c r="C776" s="11">
        <v>2</v>
      </c>
      <c r="D776" s="11" t="s">
        <v>95</v>
      </c>
      <c r="E776" s="11">
        <v>3</v>
      </c>
      <c r="F776" s="11">
        <v>4</v>
      </c>
      <c r="G776" s="11">
        <v>6</v>
      </c>
      <c r="H776" s="22">
        <v>7</v>
      </c>
      <c r="K776" s="11">
        <v>1</v>
      </c>
      <c r="L776" s="11">
        <v>2</v>
      </c>
      <c r="M776" s="11" t="s">
        <v>95</v>
      </c>
      <c r="N776" s="11">
        <v>3</v>
      </c>
      <c r="O776" s="11">
        <v>4</v>
      </c>
      <c r="P776" s="11">
        <v>6</v>
      </c>
      <c r="Q776" s="22">
        <v>7</v>
      </c>
      <c r="T776" s="11">
        <v>1</v>
      </c>
      <c r="U776" s="11">
        <v>2</v>
      </c>
      <c r="V776" s="11" t="s">
        <v>95</v>
      </c>
      <c r="W776" s="11">
        <v>3</v>
      </c>
      <c r="X776" s="11">
        <v>4</v>
      </c>
      <c r="Y776" s="11">
        <v>5</v>
      </c>
      <c r="Z776" s="11">
        <v>6</v>
      </c>
      <c r="AA776" s="11">
        <v>7</v>
      </c>
      <c r="AB776" s="22">
        <v>8</v>
      </c>
      <c r="AC776" s="146"/>
      <c r="AD776" s="428"/>
      <c r="AG776" s="252"/>
      <c r="AH776" s="252"/>
      <c r="AI776" s="252"/>
      <c r="AJ776" s="252"/>
      <c r="AK776" s="428"/>
      <c r="AL776" s="146"/>
    </row>
    <row r="777" spans="2:38" x14ac:dyDescent="0.25">
      <c r="B777" s="9" t="s">
        <v>8</v>
      </c>
      <c r="C777" s="10" t="s">
        <v>9</v>
      </c>
      <c r="D777" s="11" t="s">
        <v>10</v>
      </c>
      <c r="E777" s="41">
        <f>'Kalkulace a Porovnání'!E777</f>
        <v>0</v>
      </c>
      <c r="F777" s="41">
        <f>'Kalkulace a Porovnání'!F777</f>
        <v>0</v>
      </c>
      <c r="G777" s="41">
        <f>'Kalkulace a Porovnání'!G777</f>
        <v>0</v>
      </c>
      <c r="H777" s="86">
        <f>'Kalkulace a Porovnání'!H777</f>
        <v>0</v>
      </c>
      <c r="K777" s="9" t="s">
        <v>8</v>
      </c>
      <c r="L777" s="10" t="s">
        <v>9</v>
      </c>
      <c r="M777" s="11" t="s">
        <v>10</v>
      </c>
      <c r="N777" s="41">
        <f>'Kalkulace a Porovnání'!N777</f>
        <v>0</v>
      </c>
      <c r="O777" s="41">
        <f>'Kalkulace a Porovnání'!O777</f>
        <v>0</v>
      </c>
      <c r="P777" s="41">
        <f>'Kalkulace a Porovnání'!P777</f>
        <v>0</v>
      </c>
      <c r="Q777" s="86">
        <f>'Kalkulace a Porovnání'!Q777</f>
        <v>0</v>
      </c>
      <c r="T777" s="9" t="s">
        <v>8</v>
      </c>
      <c r="U777" s="10" t="s">
        <v>9</v>
      </c>
      <c r="V777" s="11" t="s">
        <v>10</v>
      </c>
      <c r="W777" s="41">
        <f>'Kalkulace a Porovnání'!W777</f>
        <v>0</v>
      </c>
      <c r="X777" s="41">
        <f>'Kalkulace a Porovnání'!X777</f>
        <v>0</v>
      </c>
      <c r="Y777" s="41">
        <f>'Kalkulace a Porovnání'!Y777</f>
        <v>0</v>
      </c>
      <c r="Z777" s="41">
        <f>'Kalkulace a Porovnání'!Z777</f>
        <v>0</v>
      </c>
      <c r="AA777" s="41">
        <f>'Kalkulace a Porovnání'!AA777</f>
        <v>0</v>
      </c>
      <c r="AB777" s="86">
        <f>'Kalkulace a Porovnání'!AB777</f>
        <v>0</v>
      </c>
      <c r="AC777" s="146"/>
      <c r="AD777" s="428"/>
      <c r="AG777" s="252"/>
      <c r="AH777" s="252"/>
      <c r="AI777" s="252"/>
      <c r="AJ777" s="252"/>
      <c r="AK777" s="428"/>
      <c r="AL777" s="146"/>
    </row>
    <row r="778" spans="2:38" x14ac:dyDescent="0.25">
      <c r="B778" s="12" t="s">
        <v>11</v>
      </c>
      <c r="C778" s="13" t="s">
        <v>12</v>
      </c>
      <c r="D778" s="3" t="s">
        <v>10</v>
      </c>
      <c r="E778" s="44">
        <f>'Kalkulace a Porovnání'!E778</f>
        <v>0</v>
      </c>
      <c r="F778" s="44">
        <f>'Kalkulace a Porovnání'!F778</f>
        <v>0</v>
      </c>
      <c r="G778" s="44">
        <f>'Kalkulace a Porovnání'!G778</f>
        <v>0</v>
      </c>
      <c r="H778" s="30">
        <f>'Kalkulace a Porovnání'!H778</f>
        <v>0</v>
      </c>
      <c r="K778" s="12" t="s">
        <v>11</v>
      </c>
      <c r="L778" s="13" t="s">
        <v>12</v>
      </c>
      <c r="M778" s="3" t="s">
        <v>10</v>
      </c>
      <c r="N778" s="44">
        <f>'Kalkulace a Porovnání'!N778</f>
        <v>0</v>
      </c>
      <c r="O778" s="44">
        <f>'Kalkulace a Porovnání'!O778</f>
        <v>0</v>
      </c>
      <c r="P778" s="44">
        <f>'Kalkulace a Porovnání'!P778</f>
        <v>0</v>
      </c>
      <c r="Q778" s="30">
        <f>'Kalkulace a Porovnání'!Q778</f>
        <v>0</v>
      </c>
      <c r="T778" s="12" t="s">
        <v>11</v>
      </c>
      <c r="U778" s="13" t="s">
        <v>12</v>
      </c>
      <c r="V778" s="3" t="s">
        <v>10</v>
      </c>
      <c r="W778" s="44">
        <f>'Kalkulace a Porovnání'!W778</f>
        <v>0</v>
      </c>
      <c r="X778" s="44">
        <f>'Kalkulace a Porovnání'!X778</f>
        <v>0</v>
      </c>
      <c r="Y778" s="44">
        <f>'Kalkulace a Porovnání'!Y778</f>
        <v>0</v>
      </c>
      <c r="Z778" s="44">
        <f>'Kalkulace a Porovnání'!Z778</f>
        <v>0</v>
      </c>
      <c r="AA778" s="44">
        <f>'Kalkulace a Porovnání'!AA778</f>
        <v>0</v>
      </c>
      <c r="AB778" s="30">
        <f>'Kalkulace a Porovnání'!AB778</f>
        <v>0</v>
      </c>
      <c r="AC778" s="146"/>
      <c r="AD778" s="428"/>
      <c r="AG778" s="252"/>
      <c r="AH778" s="252"/>
      <c r="AI778" s="252"/>
      <c r="AJ778" s="252"/>
      <c r="AK778" s="428"/>
      <c r="AL778" s="146"/>
    </row>
    <row r="779" spans="2:38" x14ac:dyDescent="0.25">
      <c r="B779" s="12" t="s">
        <v>13</v>
      </c>
      <c r="C779" s="12" t="s">
        <v>14</v>
      </c>
      <c r="D779" s="3" t="s">
        <v>10</v>
      </c>
      <c r="E779" s="44">
        <f>'Kalkulace a Porovnání'!E779</f>
        <v>0</v>
      </c>
      <c r="F779" s="44">
        <f>'Kalkulace a Porovnání'!F779</f>
        <v>0</v>
      </c>
      <c r="G779" s="44">
        <f>'Kalkulace a Porovnání'!G779</f>
        <v>0</v>
      </c>
      <c r="H779" s="30">
        <f>'Kalkulace a Porovnání'!H779</f>
        <v>0</v>
      </c>
      <c r="K779" s="12" t="s">
        <v>13</v>
      </c>
      <c r="L779" s="12" t="s">
        <v>14</v>
      </c>
      <c r="M779" s="3" t="s">
        <v>10</v>
      </c>
      <c r="N779" s="44">
        <f>'Kalkulace a Porovnání'!N779</f>
        <v>0</v>
      </c>
      <c r="O779" s="44">
        <f>'Kalkulace a Porovnání'!O779</f>
        <v>0</v>
      </c>
      <c r="P779" s="44">
        <f>'Kalkulace a Porovnání'!P779</f>
        <v>0</v>
      </c>
      <c r="Q779" s="30">
        <f>'Kalkulace a Porovnání'!Q779</f>
        <v>0</v>
      </c>
      <c r="T779" s="12" t="s">
        <v>13</v>
      </c>
      <c r="U779" s="12" t="s">
        <v>14</v>
      </c>
      <c r="V779" s="3" t="s">
        <v>10</v>
      </c>
      <c r="W779" s="44">
        <f>'Kalkulace a Porovnání'!W779</f>
        <v>0</v>
      </c>
      <c r="X779" s="44">
        <f>'Kalkulace a Porovnání'!X779</f>
        <v>0</v>
      </c>
      <c r="Y779" s="44">
        <f>'Kalkulace a Porovnání'!Y779</f>
        <v>0</v>
      </c>
      <c r="Z779" s="44">
        <f>'Kalkulace a Porovnání'!Z779</f>
        <v>0</v>
      </c>
      <c r="AA779" s="44">
        <f>'Kalkulace a Porovnání'!AA779</f>
        <v>0</v>
      </c>
      <c r="AB779" s="30">
        <f>'Kalkulace a Porovnání'!AB779</f>
        <v>0</v>
      </c>
      <c r="AC779" s="146"/>
      <c r="AD779" s="428"/>
      <c r="AG779" s="252"/>
      <c r="AH779" s="252"/>
      <c r="AI779" s="252"/>
      <c r="AJ779" s="252"/>
      <c r="AK779" s="428"/>
      <c r="AL779" s="146"/>
    </row>
    <row r="780" spans="2:38" x14ac:dyDescent="0.25">
      <c r="B780" s="12" t="s">
        <v>15</v>
      </c>
      <c r="C780" s="13" t="s">
        <v>16</v>
      </c>
      <c r="D780" s="3" t="s">
        <v>10</v>
      </c>
      <c r="E780" s="44">
        <f>'Kalkulace a Porovnání'!E780</f>
        <v>0</v>
      </c>
      <c r="F780" s="44">
        <f>'Kalkulace a Porovnání'!F780</f>
        <v>0</v>
      </c>
      <c r="G780" s="44">
        <f>'Kalkulace a Porovnání'!G780</f>
        <v>0</v>
      </c>
      <c r="H780" s="30">
        <f>'Kalkulace a Porovnání'!H780</f>
        <v>0</v>
      </c>
      <c r="K780" s="12" t="s">
        <v>15</v>
      </c>
      <c r="L780" s="13" t="s">
        <v>16</v>
      </c>
      <c r="M780" s="3" t="s">
        <v>10</v>
      </c>
      <c r="N780" s="44">
        <f>'Kalkulace a Porovnání'!N780</f>
        <v>0</v>
      </c>
      <c r="O780" s="44">
        <f>'Kalkulace a Porovnání'!O780</f>
        <v>0</v>
      </c>
      <c r="P780" s="44">
        <f>'Kalkulace a Porovnání'!P780</f>
        <v>0</v>
      </c>
      <c r="Q780" s="30">
        <f>'Kalkulace a Porovnání'!Q780</f>
        <v>0</v>
      </c>
      <c r="T780" s="12" t="s">
        <v>15</v>
      </c>
      <c r="U780" s="13" t="s">
        <v>16</v>
      </c>
      <c r="V780" s="3" t="s">
        <v>10</v>
      </c>
      <c r="W780" s="44">
        <f>'Kalkulace a Porovnání'!W780</f>
        <v>0</v>
      </c>
      <c r="X780" s="44">
        <f>'Kalkulace a Porovnání'!X780</f>
        <v>0</v>
      </c>
      <c r="Y780" s="44">
        <f>'Kalkulace a Porovnání'!Y780</f>
        <v>0</v>
      </c>
      <c r="Z780" s="44">
        <f>'Kalkulace a Porovnání'!Z780</f>
        <v>0</v>
      </c>
      <c r="AA780" s="44">
        <f>'Kalkulace a Porovnání'!AA780</f>
        <v>0</v>
      </c>
      <c r="AB780" s="30">
        <f>'Kalkulace a Porovnání'!AB780</f>
        <v>0</v>
      </c>
      <c r="AC780" s="146"/>
      <c r="AD780" s="428"/>
      <c r="AG780" s="252"/>
      <c r="AH780" s="252"/>
      <c r="AI780" s="252"/>
      <c r="AJ780" s="252"/>
      <c r="AK780" s="428"/>
      <c r="AL780" s="146"/>
    </row>
    <row r="781" spans="2:38" x14ac:dyDescent="0.25">
      <c r="B781" s="12" t="s">
        <v>17</v>
      </c>
      <c r="C781" s="13" t="s">
        <v>18</v>
      </c>
      <c r="D781" s="3" t="s">
        <v>10</v>
      </c>
      <c r="E781" s="44">
        <f>'Kalkulace a Porovnání'!E781</f>
        <v>0</v>
      </c>
      <c r="F781" s="44">
        <f>'Kalkulace a Porovnání'!F781</f>
        <v>0</v>
      </c>
      <c r="G781" s="44">
        <f>'Kalkulace a Porovnání'!G781</f>
        <v>0</v>
      </c>
      <c r="H781" s="30">
        <f>'Kalkulace a Porovnání'!H781</f>
        <v>0</v>
      </c>
      <c r="K781" s="12" t="s">
        <v>17</v>
      </c>
      <c r="L781" s="13" t="s">
        <v>18</v>
      </c>
      <c r="M781" s="3" t="s">
        <v>10</v>
      </c>
      <c r="N781" s="44">
        <f>'Kalkulace a Porovnání'!N781</f>
        <v>0</v>
      </c>
      <c r="O781" s="44">
        <f>'Kalkulace a Porovnání'!O781</f>
        <v>0</v>
      </c>
      <c r="P781" s="44">
        <f>'Kalkulace a Porovnání'!P781</f>
        <v>0</v>
      </c>
      <c r="Q781" s="30">
        <f>'Kalkulace a Porovnání'!Q781</f>
        <v>0</v>
      </c>
      <c r="T781" s="12" t="s">
        <v>17</v>
      </c>
      <c r="U781" s="13" t="s">
        <v>18</v>
      </c>
      <c r="V781" s="3" t="s">
        <v>10</v>
      </c>
      <c r="W781" s="44">
        <f>'Kalkulace a Porovnání'!W781</f>
        <v>0</v>
      </c>
      <c r="X781" s="44">
        <f>'Kalkulace a Porovnání'!X781</f>
        <v>0</v>
      </c>
      <c r="Y781" s="44">
        <f>'Kalkulace a Porovnání'!Y781</f>
        <v>0</v>
      </c>
      <c r="Z781" s="44">
        <f>'Kalkulace a Porovnání'!Z781</f>
        <v>0</v>
      </c>
      <c r="AA781" s="44">
        <f>'Kalkulace a Porovnání'!AA781</f>
        <v>0</v>
      </c>
      <c r="AB781" s="30">
        <f>'Kalkulace a Porovnání'!AB781</f>
        <v>0</v>
      </c>
      <c r="AC781" s="146"/>
      <c r="AD781" s="428"/>
      <c r="AG781" s="252"/>
      <c r="AH781" s="252"/>
      <c r="AI781" s="252"/>
      <c r="AJ781" s="252"/>
      <c r="AK781" s="428"/>
      <c r="AL781" s="146"/>
    </row>
    <row r="782" spans="2:38" x14ac:dyDescent="0.25">
      <c r="B782" s="9" t="s">
        <v>19</v>
      </c>
      <c r="C782" s="10" t="s">
        <v>20</v>
      </c>
      <c r="D782" s="11" t="s">
        <v>10</v>
      </c>
      <c r="E782" s="41">
        <f>'Kalkulace a Porovnání'!E782</f>
        <v>0</v>
      </c>
      <c r="F782" s="41">
        <f>'Kalkulace a Porovnání'!F782</f>
        <v>0</v>
      </c>
      <c r="G782" s="41">
        <f>'Kalkulace a Porovnání'!G782</f>
        <v>0</v>
      </c>
      <c r="H782" s="86">
        <f>'Kalkulace a Porovnání'!H782</f>
        <v>0</v>
      </c>
      <c r="K782" s="9" t="s">
        <v>19</v>
      </c>
      <c r="L782" s="10" t="s">
        <v>20</v>
      </c>
      <c r="M782" s="11" t="s">
        <v>10</v>
      </c>
      <c r="N782" s="41">
        <f>'Kalkulace a Porovnání'!N782</f>
        <v>0</v>
      </c>
      <c r="O782" s="41">
        <f>'Kalkulace a Porovnání'!O782</f>
        <v>0</v>
      </c>
      <c r="P782" s="41">
        <f>'Kalkulace a Porovnání'!P782</f>
        <v>0</v>
      </c>
      <c r="Q782" s="86">
        <f>'Kalkulace a Porovnání'!Q782</f>
        <v>0</v>
      </c>
      <c r="T782" s="9" t="s">
        <v>19</v>
      </c>
      <c r="U782" s="10" t="s">
        <v>20</v>
      </c>
      <c r="V782" s="11" t="s">
        <v>10</v>
      </c>
      <c r="W782" s="41">
        <f>'Kalkulace a Porovnání'!W782</f>
        <v>0</v>
      </c>
      <c r="X782" s="41">
        <f>'Kalkulace a Porovnání'!X782</f>
        <v>0</v>
      </c>
      <c r="Y782" s="41">
        <f>'Kalkulace a Porovnání'!Y782</f>
        <v>0</v>
      </c>
      <c r="Z782" s="41">
        <f>'Kalkulace a Porovnání'!Z782</f>
        <v>0</v>
      </c>
      <c r="AA782" s="41">
        <f>'Kalkulace a Porovnání'!AA782</f>
        <v>0</v>
      </c>
      <c r="AB782" s="86">
        <f>'Kalkulace a Porovnání'!AB782</f>
        <v>0</v>
      </c>
      <c r="AC782" s="146"/>
      <c r="AD782" s="428"/>
      <c r="AG782" s="252"/>
      <c r="AH782" s="252"/>
      <c r="AI782" s="252"/>
      <c r="AJ782" s="252"/>
      <c r="AK782" s="428"/>
      <c r="AL782" s="146"/>
    </row>
    <row r="783" spans="2:38" x14ac:dyDescent="0.25">
      <c r="B783" s="12" t="s">
        <v>21</v>
      </c>
      <c r="C783" s="12" t="s">
        <v>22</v>
      </c>
      <c r="D783" s="3" t="s">
        <v>10</v>
      </c>
      <c r="E783" s="44">
        <f>'Kalkulace a Porovnání'!E783</f>
        <v>0</v>
      </c>
      <c r="F783" s="44">
        <f>'Kalkulace a Porovnání'!F783</f>
        <v>0</v>
      </c>
      <c r="G783" s="44">
        <f>'Kalkulace a Porovnání'!G783</f>
        <v>0</v>
      </c>
      <c r="H783" s="30">
        <f>'Kalkulace a Porovnání'!H783</f>
        <v>0</v>
      </c>
      <c r="K783" s="12" t="s">
        <v>21</v>
      </c>
      <c r="L783" s="12" t="s">
        <v>22</v>
      </c>
      <c r="M783" s="3" t="s">
        <v>10</v>
      </c>
      <c r="N783" s="44">
        <f>'Kalkulace a Porovnání'!N783</f>
        <v>0</v>
      </c>
      <c r="O783" s="44">
        <f>'Kalkulace a Porovnání'!O783</f>
        <v>0</v>
      </c>
      <c r="P783" s="44">
        <f>'Kalkulace a Porovnání'!P783</f>
        <v>0</v>
      </c>
      <c r="Q783" s="30">
        <f>'Kalkulace a Porovnání'!Q783</f>
        <v>0</v>
      </c>
      <c r="T783" s="12" t="s">
        <v>21</v>
      </c>
      <c r="U783" s="12" t="s">
        <v>22</v>
      </c>
      <c r="V783" s="3" t="s">
        <v>10</v>
      </c>
      <c r="W783" s="44">
        <f>'Kalkulace a Porovnání'!W783</f>
        <v>0</v>
      </c>
      <c r="X783" s="44">
        <f>'Kalkulace a Porovnání'!X783</f>
        <v>0</v>
      </c>
      <c r="Y783" s="44">
        <f>'Kalkulace a Porovnání'!Y783</f>
        <v>0</v>
      </c>
      <c r="Z783" s="44">
        <f>'Kalkulace a Porovnání'!Z783</f>
        <v>0</v>
      </c>
      <c r="AA783" s="44">
        <f>'Kalkulace a Porovnání'!AA783</f>
        <v>0</v>
      </c>
      <c r="AB783" s="30">
        <f>'Kalkulace a Porovnání'!AB783</f>
        <v>0</v>
      </c>
      <c r="AC783" s="146"/>
      <c r="AD783" s="428"/>
      <c r="AG783" s="252"/>
      <c r="AH783" s="252"/>
      <c r="AI783" s="252"/>
      <c r="AJ783" s="252"/>
      <c r="AK783" s="428"/>
      <c r="AL783" s="146"/>
    </row>
    <row r="784" spans="2:38" x14ac:dyDescent="0.25">
      <c r="B784" s="12" t="s">
        <v>23</v>
      </c>
      <c r="C784" s="12" t="s">
        <v>24</v>
      </c>
      <c r="D784" s="3" t="s">
        <v>10</v>
      </c>
      <c r="E784" s="44">
        <f>'Kalkulace a Porovnání'!E784</f>
        <v>0</v>
      </c>
      <c r="F784" s="44">
        <f>'Kalkulace a Porovnání'!F784</f>
        <v>0</v>
      </c>
      <c r="G784" s="44">
        <f>'Kalkulace a Porovnání'!G784</f>
        <v>0</v>
      </c>
      <c r="H784" s="30">
        <f>'Kalkulace a Porovnání'!H784</f>
        <v>0</v>
      </c>
      <c r="K784" s="12" t="s">
        <v>23</v>
      </c>
      <c r="L784" s="12" t="s">
        <v>24</v>
      </c>
      <c r="M784" s="3" t="s">
        <v>10</v>
      </c>
      <c r="N784" s="44">
        <f>'Kalkulace a Porovnání'!N784</f>
        <v>0</v>
      </c>
      <c r="O784" s="44">
        <f>'Kalkulace a Porovnání'!O784</f>
        <v>0</v>
      </c>
      <c r="P784" s="44">
        <f>'Kalkulace a Porovnání'!P784</f>
        <v>0</v>
      </c>
      <c r="Q784" s="30">
        <f>'Kalkulace a Porovnání'!Q784</f>
        <v>0</v>
      </c>
      <c r="T784" s="12" t="s">
        <v>23</v>
      </c>
      <c r="U784" s="12" t="s">
        <v>24</v>
      </c>
      <c r="V784" s="3" t="s">
        <v>10</v>
      </c>
      <c r="W784" s="44">
        <f>'Kalkulace a Porovnání'!W784</f>
        <v>0</v>
      </c>
      <c r="X784" s="44">
        <f>'Kalkulace a Porovnání'!X784</f>
        <v>0</v>
      </c>
      <c r="Y784" s="44">
        <f>'Kalkulace a Porovnání'!Y784</f>
        <v>0</v>
      </c>
      <c r="Z784" s="44">
        <f>'Kalkulace a Porovnání'!Z784</f>
        <v>0</v>
      </c>
      <c r="AA784" s="44">
        <f>'Kalkulace a Porovnání'!AA784</f>
        <v>0</v>
      </c>
      <c r="AB784" s="30">
        <f>'Kalkulace a Porovnání'!AB784</f>
        <v>0</v>
      </c>
      <c r="AC784" s="146"/>
      <c r="AD784" s="428"/>
      <c r="AG784" s="252"/>
      <c r="AH784" s="252"/>
      <c r="AI784" s="252"/>
      <c r="AJ784" s="252"/>
      <c r="AK784" s="428"/>
      <c r="AL784" s="146"/>
    </row>
    <row r="785" spans="2:38" x14ac:dyDescent="0.25">
      <c r="B785" s="9" t="s">
        <v>25</v>
      </c>
      <c r="C785" s="10" t="s">
        <v>400</v>
      </c>
      <c r="D785" s="11" t="s">
        <v>10</v>
      </c>
      <c r="E785" s="41">
        <f>'Kalkulace a Porovnání'!E785</f>
        <v>0</v>
      </c>
      <c r="F785" s="41">
        <f>'Kalkulace a Porovnání'!F785</f>
        <v>0</v>
      </c>
      <c r="G785" s="41">
        <f>'Kalkulace a Porovnání'!G785</f>
        <v>0</v>
      </c>
      <c r="H785" s="86">
        <f>'Kalkulace a Porovnání'!H785</f>
        <v>0</v>
      </c>
      <c r="K785" s="9" t="s">
        <v>25</v>
      </c>
      <c r="L785" s="10" t="s">
        <v>400</v>
      </c>
      <c r="M785" s="11" t="s">
        <v>10</v>
      </c>
      <c r="N785" s="41">
        <f>'Kalkulace a Porovnání'!N785</f>
        <v>0</v>
      </c>
      <c r="O785" s="41">
        <f>'Kalkulace a Porovnání'!O785</f>
        <v>0</v>
      </c>
      <c r="P785" s="41">
        <f>'Kalkulace a Porovnání'!P785</f>
        <v>0</v>
      </c>
      <c r="Q785" s="86">
        <f>'Kalkulace a Porovnání'!Q785</f>
        <v>0</v>
      </c>
      <c r="T785" s="9" t="s">
        <v>25</v>
      </c>
      <c r="U785" s="10" t="s">
        <v>400</v>
      </c>
      <c r="V785" s="11" t="s">
        <v>10</v>
      </c>
      <c r="W785" s="41">
        <f>'Kalkulace a Porovnání'!W785</f>
        <v>0</v>
      </c>
      <c r="X785" s="41">
        <f>'Kalkulace a Porovnání'!X785</f>
        <v>0</v>
      </c>
      <c r="Y785" s="41">
        <f>'Kalkulace a Porovnání'!Y785</f>
        <v>0</v>
      </c>
      <c r="Z785" s="41">
        <f>'Kalkulace a Porovnání'!Z785</f>
        <v>0</v>
      </c>
      <c r="AA785" s="41">
        <f>'Kalkulace a Porovnání'!AA785</f>
        <v>0</v>
      </c>
      <c r="AB785" s="86">
        <f>'Kalkulace a Porovnání'!AB785</f>
        <v>0</v>
      </c>
      <c r="AC785" s="146"/>
      <c r="AD785" s="428"/>
      <c r="AG785" s="252"/>
      <c r="AH785" s="252"/>
      <c r="AI785" s="252"/>
      <c r="AJ785" s="252"/>
      <c r="AK785" s="428"/>
      <c r="AL785" s="146"/>
    </row>
    <row r="786" spans="2:38" x14ac:dyDescent="0.25">
      <c r="B786" s="12" t="s">
        <v>26</v>
      </c>
      <c r="C786" s="13" t="s">
        <v>390</v>
      </c>
      <c r="D786" s="3" t="s">
        <v>10</v>
      </c>
      <c r="E786" s="44">
        <f>'Kalkulace a Porovnání'!E786</f>
        <v>0</v>
      </c>
      <c r="F786" s="44">
        <f>'Kalkulace a Porovnání'!F786</f>
        <v>0</v>
      </c>
      <c r="G786" s="44">
        <f>'Kalkulace a Porovnání'!G786</f>
        <v>0</v>
      </c>
      <c r="H786" s="30">
        <f>'Kalkulace a Porovnání'!H786</f>
        <v>0</v>
      </c>
      <c r="K786" s="12" t="s">
        <v>26</v>
      </c>
      <c r="L786" s="13" t="s">
        <v>390</v>
      </c>
      <c r="M786" s="3" t="s">
        <v>10</v>
      </c>
      <c r="N786" s="44">
        <f>'Kalkulace a Porovnání'!N786</f>
        <v>0</v>
      </c>
      <c r="O786" s="44">
        <f>'Kalkulace a Porovnání'!O786</f>
        <v>0</v>
      </c>
      <c r="P786" s="44">
        <f>'Kalkulace a Porovnání'!P786</f>
        <v>0</v>
      </c>
      <c r="Q786" s="30">
        <f>'Kalkulace a Porovnání'!Q786</f>
        <v>0</v>
      </c>
      <c r="T786" s="12" t="s">
        <v>26</v>
      </c>
      <c r="U786" s="13" t="s">
        <v>390</v>
      </c>
      <c r="V786" s="3" t="s">
        <v>10</v>
      </c>
      <c r="W786" s="44">
        <f>'Kalkulace a Porovnání'!W786</f>
        <v>0</v>
      </c>
      <c r="X786" s="44">
        <f>'Kalkulace a Porovnání'!X786</f>
        <v>0</v>
      </c>
      <c r="Y786" s="44">
        <f>'Kalkulace a Porovnání'!Y786</f>
        <v>0</v>
      </c>
      <c r="Z786" s="44">
        <f>'Kalkulace a Porovnání'!Z786</f>
        <v>0</v>
      </c>
      <c r="AA786" s="44">
        <f>'Kalkulace a Porovnání'!AA786</f>
        <v>0</v>
      </c>
      <c r="AB786" s="30">
        <f>'Kalkulace a Porovnání'!AB786</f>
        <v>0</v>
      </c>
      <c r="AC786" s="146"/>
      <c r="AD786" s="428"/>
      <c r="AG786" s="252"/>
      <c r="AH786" s="252"/>
      <c r="AI786" s="252"/>
      <c r="AJ786" s="252"/>
      <c r="AK786" s="428"/>
      <c r="AL786" s="146"/>
    </row>
    <row r="787" spans="2:38" x14ac:dyDescent="0.25">
      <c r="B787" s="12" t="s">
        <v>27</v>
      </c>
      <c r="C787" s="13" t="s">
        <v>401</v>
      </c>
      <c r="D787" s="3" t="s">
        <v>10</v>
      </c>
      <c r="E787" s="44">
        <f>'Kalkulace a Porovnání'!E787</f>
        <v>0</v>
      </c>
      <c r="F787" s="44">
        <f>'Kalkulace a Porovnání'!F787</f>
        <v>0</v>
      </c>
      <c r="G787" s="44">
        <f>'Kalkulace a Porovnání'!G787</f>
        <v>0</v>
      </c>
      <c r="H787" s="30">
        <f>'Kalkulace a Porovnání'!H787</f>
        <v>0</v>
      </c>
      <c r="K787" s="12" t="s">
        <v>27</v>
      </c>
      <c r="L787" s="13" t="s">
        <v>401</v>
      </c>
      <c r="M787" s="3" t="s">
        <v>10</v>
      </c>
      <c r="N787" s="44">
        <f>'Kalkulace a Porovnání'!N787</f>
        <v>0</v>
      </c>
      <c r="O787" s="44">
        <f>'Kalkulace a Porovnání'!O787</f>
        <v>0</v>
      </c>
      <c r="P787" s="44">
        <f>'Kalkulace a Porovnání'!P787</f>
        <v>0</v>
      </c>
      <c r="Q787" s="30">
        <f>'Kalkulace a Porovnání'!Q787</f>
        <v>0</v>
      </c>
      <c r="T787" s="12" t="s">
        <v>27</v>
      </c>
      <c r="U787" s="13" t="s">
        <v>401</v>
      </c>
      <c r="V787" s="3" t="s">
        <v>10</v>
      </c>
      <c r="W787" s="44">
        <f>'Kalkulace a Porovnání'!W787</f>
        <v>0</v>
      </c>
      <c r="X787" s="44">
        <f>'Kalkulace a Porovnání'!X787</f>
        <v>0</v>
      </c>
      <c r="Y787" s="44">
        <f>'Kalkulace a Porovnání'!Y787</f>
        <v>0</v>
      </c>
      <c r="Z787" s="44">
        <f>'Kalkulace a Porovnání'!Z787</f>
        <v>0</v>
      </c>
      <c r="AA787" s="44">
        <f>'Kalkulace a Porovnání'!AA787</f>
        <v>0</v>
      </c>
      <c r="AB787" s="30">
        <f>'Kalkulace a Porovnání'!AB787</f>
        <v>0</v>
      </c>
      <c r="AC787" s="146"/>
      <c r="AD787" s="428"/>
      <c r="AG787" s="252"/>
      <c r="AH787" s="252"/>
      <c r="AI787" s="252"/>
      <c r="AJ787" s="252"/>
      <c r="AK787" s="428"/>
      <c r="AL787" s="146"/>
    </row>
    <row r="788" spans="2:38" x14ac:dyDescent="0.25">
      <c r="B788" s="9" t="s">
        <v>28</v>
      </c>
      <c r="C788" s="10" t="s">
        <v>29</v>
      </c>
      <c r="D788" s="11" t="s">
        <v>10</v>
      </c>
      <c r="E788" s="41">
        <f>'Kalkulace a Porovnání'!E788</f>
        <v>0</v>
      </c>
      <c r="F788" s="41">
        <f>'Kalkulace a Porovnání'!F788</f>
        <v>0</v>
      </c>
      <c r="G788" s="41">
        <f>'Kalkulace a Porovnání'!G788</f>
        <v>0</v>
      </c>
      <c r="H788" s="86">
        <f>'Kalkulace a Porovnání'!H788</f>
        <v>0</v>
      </c>
      <c r="K788" s="9" t="s">
        <v>28</v>
      </c>
      <c r="L788" s="10" t="s">
        <v>29</v>
      </c>
      <c r="M788" s="11" t="s">
        <v>10</v>
      </c>
      <c r="N788" s="41">
        <f>'Kalkulace a Porovnání'!N788</f>
        <v>0</v>
      </c>
      <c r="O788" s="41">
        <f>'Kalkulace a Porovnání'!O788</f>
        <v>0</v>
      </c>
      <c r="P788" s="41">
        <f>'Kalkulace a Porovnání'!P788</f>
        <v>0</v>
      </c>
      <c r="Q788" s="86">
        <f>'Kalkulace a Porovnání'!Q788</f>
        <v>0</v>
      </c>
      <c r="T788" s="9" t="s">
        <v>28</v>
      </c>
      <c r="U788" s="10" t="s">
        <v>29</v>
      </c>
      <c r="V788" s="11" t="s">
        <v>10</v>
      </c>
      <c r="W788" s="41">
        <f>'Kalkulace a Porovnání'!W788</f>
        <v>0</v>
      </c>
      <c r="X788" s="41">
        <f>'Kalkulace a Porovnání'!X788</f>
        <v>0</v>
      </c>
      <c r="Y788" s="41">
        <f>'Kalkulace a Porovnání'!Y788</f>
        <v>0</v>
      </c>
      <c r="Z788" s="41">
        <f>'Kalkulace a Porovnání'!Z788</f>
        <v>0</v>
      </c>
      <c r="AA788" s="41">
        <f>'Kalkulace a Porovnání'!AA788</f>
        <v>0</v>
      </c>
      <c r="AB788" s="86">
        <f>'Kalkulace a Porovnání'!AB788</f>
        <v>0</v>
      </c>
      <c r="AC788" s="146"/>
      <c r="AD788" s="428"/>
      <c r="AG788" s="252"/>
      <c r="AH788" s="252"/>
      <c r="AI788" s="252"/>
      <c r="AJ788" s="252"/>
      <c r="AK788" s="428"/>
      <c r="AL788" s="146"/>
    </row>
    <row r="789" spans="2:38" x14ac:dyDescent="0.25">
      <c r="B789" s="12" t="s">
        <v>30</v>
      </c>
      <c r="C789" s="21" t="s">
        <v>381</v>
      </c>
      <c r="D789" s="3" t="s">
        <v>10</v>
      </c>
      <c r="E789" s="44">
        <f>'Kalkulace a Porovnání'!E789</f>
        <v>0</v>
      </c>
      <c r="F789" s="44">
        <f>'Kalkulace a Porovnání'!F789</f>
        <v>0</v>
      </c>
      <c r="G789" s="44">
        <f>'Kalkulace a Porovnání'!G789</f>
        <v>0</v>
      </c>
      <c r="H789" s="30">
        <f>'Kalkulace a Porovnání'!H789</f>
        <v>0</v>
      </c>
      <c r="K789" s="12" t="s">
        <v>30</v>
      </c>
      <c r="L789" s="21" t="s">
        <v>381</v>
      </c>
      <c r="M789" s="3" t="s">
        <v>10</v>
      </c>
      <c r="N789" s="44">
        <f>'Kalkulace a Porovnání'!N789</f>
        <v>0</v>
      </c>
      <c r="O789" s="44">
        <f>'Kalkulace a Porovnání'!O789</f>
        <v>0</v>
      </c>
      <c r="P789" s="44">
        <f>'Kalkulace a Porovnání'!P789</f>
        <v>0</v>
      </c>
      <c r="Q789" s="30">
        <f>'Kalkulace a Porovnání'!Q789</f>
        <v>0</v>
      </c>
      <c r="T789" s="12" t="s">
        <v>30</v>
      </c>
      <c r="U789" s="21" t="s">
        <v>381</v>
      </c>
      <c r="V789" s="3" t="s">
        <v>10</v>
      </c>
      <c r="W789" s="44">
        <f>'Kalkulace a Porovnání'!W789</f>
        <v>0</v>
      </c>
      <c r="X789" s="44">
        <f>'Kalkulace a Porovnání'!X789</f>
        <v>0</v>
      </c>
      <c r="Y789" s="44">
        <f>'Kalkulace a Porovnání'!Y789</f>
        <v>0</v>
      </c>
      <c r="Z789" s="44">
        <f>'Kalkulace a Porovnání'!Z789</f>
        <v>0</v>
      </c>
      <c r="AA789" s="44">
        <f>'Kalkulace a Porovnání'!AA789</f>
        <v>0</v>
      </c>
      <c r="AB789" s="30">
        <f>'Kalkulace a Porovnání'!AB789</f>
        <v>0</v>
      </c>
      <c r="AC789" s="146"/>
      <c r="AD789" s="428"/>
      <c r="AG789" s="428"/>
      <c r="AH789" s="428"/>
      <c r="AI789" s="252"/>
      <c r="AJ789" s="252"/>
      <c r="AK789" s="428"/>
      <c r="AL789" s="146"/>
    </row>
    <row r="790" spans="2:38" x14ac:dyDescent="0.25">
      <c r="B790" s="12" t="s">
        <v>32</v>
      </c>
      <c r="C790" s="13" t="s">
        <v>383</v>
      </c>
      <c r="D790" s="3" t="s">
        <v>10</v>
      </c>
      <c r="E790" s="44">
        <f>'Kalkulace a Porovnání'!E790</f>
        <v>0</v>
      </c>
      <c r="F790" s="44">
        <f>'Kalkulace a Porovnání'!F790</f>
        <v>0</v>
      </c>
      <c r="G790" s="44">
        <f>'Kalkulace a Porovnání'!G790</f>
        <v>0</v>
      </c>
      <c r="H790" s="30">
        <f>'Kalkulace a Porovnání'!H790</f>
        <v>0</v>
      </c>
      <c r="K790" s="12" t="s">
        <v>32</v>
      </c>
      <c r="L790" s="13" t="s">
        <v>383</v>
      </c>
      <c r="M790" s="3" t="s">
        <v>10</v>
      </c>
      <c r="N790" s="44">
        <f>'Kalkulace a Porovnání'!N790</f>
        <v>0</v>
      </c>
      <c r="O790" s="44">
        <f>'Kalkulace a Porovnání'!O790</f>
        <v>0</v>
      </c>
      <c r="P790" s="44">
        <f>'Kalkulace a Porovnání'!P790</f>
        <v>0</v>
      </c>
      <c r="Q790" s="30">
        <f>'Kalkulace a Porovnání'!Q790</f>
        <v>0</v>
      </c>
      <c r="T790" s="12" t="s">
        <v>32</v>
      </c>
      <c r="U790" s="13" t="s">
        <v>383</v>
      </c>
      <c r="V790" s="3" t="s">
        <v>10</v>
      </c>
      <c r="W790" s="44">
        <f>'Kalkulace a Porovnání'!W790</f>
        <v>0</v>
      </c>
      <c r="X790" s="44">
        <f>'Kalkulace a Porovnání'!X790</f>
        <v>0</v>
      </c>
      <c r="Y790" s="44">
        <f>'Kalkulace a Porovnání'!Y790</f>
        <v>0</v>
      </c>
      <c r="Z790" s="44">
        <f>'Kalkulace a Porovnání'!Z790</f>
        <v>0</v>
      </c>
      <c r="AA790" s="44">
        <f>'Kalkulace a Porovnání'!AA790</f>
        <v>0</v>
      </c>
      <c r="AB790" s="30">
        <f>'Kalkulace a Porovnání'!AB790</f>
        <v>0</v>
      </c>
      <c r="AC790" s="146"/>
      <c r="AD790" s="428"/>
      <c r="AG790" s="428"/>
      <c r="AH790" s="428"/>
      <c r="AI790" s="252"/>
      <c r="AJ790" s="252"/>
      <c r="AK790" s="428"/>
      <c r="AL790" s="146"/>
    </row>
    <row r="791" spans="2:38" x14ac:dyDescent="0.25">
      <c r="B791" s="12" t="s">
        <v>33</v>
      </c>
      <c r="C791" s="13" t="s">
        <v>382</v>
      </c>
      <c r="D791" s="3" t="s">
        <v>10</v>
      </c>
      <c r="E791" s="44">
        <f>'Kalkulace a Porovnání'!E791</f>
        <v>0</v>
      </c>
      <c r="F791" s="44">
        <f>'Kalkulace a Porovnání'!F791</f>
        <v>0</v>
      </c>
      <c r="G791" s="44">
        <f>'Kalkulace a Porovnání'!G791</f>
        <v>0</v>
      </c>
      <c r="H791" s="30">
        <f>'Kalkulace a Porovnání'!H791</f>
        <v>0</v>
      </c>
      <c r="K791" s="12" t="s">
        <v>33</v>
      </c>
      <c r="L791" s="13" t="s">
        <v>382</v>
      </c>
      <c r="M791" s="3" t="s">
        <v>10</v>
      </c>
      <c r="N791" s="44">
        <f>'Kalkulace a Porovnání'!N791</f>
        <v>0</v>
      </c>
      <c r="O791" s="44">
        <f>'Kalkulace a Porovnání'!O791</f>
        <v>0</v>
      </c>
      <c r="P791" s="44">
        <f>'Kalkulace a Porovnání'!P791</f>
        <v>0</v>
      </c>
      <c r="Q791" s="30">
        <f>'Kalkulace a Porovnání'!Q791</f>
        <v>0</v>
      </c>
      <c r="T791" s="12" t="s">
        <v>33</v>
      </c>
      <c r="U791" s="13" t="s">
        <v>382</v>
      </c>
      <c r="V791" s="3" t="s">
        <v>10</v>
      </c>
      <c r="W791" s="44">
        <f>'Kalkulace a Porovnání'!W791</f>
        <v>0</v>
      </c>
      <c r="X791" s="44">
        <f>'Kalkulace a Porovnání'!X791</f>
        <v>0</v>
      </c>
      <c r="Y791" s="44">
        <f>'Kalkulace a Porovnání'!Y791</f>
        <v>0</v>
      </c>
      <c r="Z791" s="44">
        <f>'Kalkulace a Porovnání'!Z791</f>
        <v>0</v>
      </c>
      <c r="AA791" s="44">
        <f>'Kalkulace a Porovnání'!AA791</f>
        <v>0</v>
      </c>
      <c r="AB791" s="30">
        <f>'Kalkulace a Porovnání'!AB791</f>
        <v>0</v>
      </c>
      <c r="AC791" s="146"/>
      <c r="AD791" s="428"/>
      <c r="AG791" s="252"/>
      <c r="AH791" s="252"/>
      <c r="AI791" s="252"/>
      <c r="AJ791" s="252"/>
      <c r="AK791" s="428"/>
      <c r="AL791" s="146"/>
    </row>
    <row r="792" spans="2:38" x14ac:dyDescent="0.25">
      <c r="B792" s="12" t="s">
        <v>34</v>
      </c>
      <c r="C792" s="21" t="s">
        <v>384</v>
      </c>
      <c r="D792" s="3" t="s">
        <v>10</v>
      </c>
      <c r="E792" s="44">
        <f>'Kalkulace a Porovnání'!E792</f>
        <v>0</v>
      </c>
      <c r="F792" s="44">
        <f>'Kalkulace a Porovnání'!F792</f>
        <v>0</v>
      </c>
      <c r="G792" s="44">
        <f>'Kalkulace a Porovnání'!G792</f>
        <v>0</v>
      </c>
      <c r="H792" s="30">
        <f>'Kalkulace a Porovnání'!H792</f>
        <v>0</v>
      </c>
      <c r="K792" s="12" t="s">
        <v>34</v>
      </c>
      <c r="L792" s="21" t="s">
        <v>384</v>
      </c>
      <c r="M792" s="3" t="s">
        <v>10</v>
      </c>
      <c r="N792" s="44">
        <f>'Kalkulace a Porovnání'!N792</f>
        <v>0</v>
      </c>
      <c r="O792" s="44">
        <f>'Kalkulace a Porovnání'!O792</f>
        <v>0</v>
      </c>
      <c r="P792" s="44">
        <f>'Kalkulace a Porovnání'!P792</f>
        <v>0</v>
      </c>
      <c r="Q792" s="30">
        <f>'Kalkulace a Porovnání'!Q792</f>
        <v>0</v>
      </c>
      <c r="T792" s="12" t="s">
        <v>34</v>
      </c>
      <c r="U792" s="21" t="s">
        <v>384</v>
      </c>
      <c r="V792" s="3" t="s">
        <v>10</v>
      </c>
      <c r="W792" s="44">
        <f>'Kalkulace a Porovnání'!W792</f>
        <v>0</v>
      </c>
      <c r="X792" s="44">
        <f>'Kalkulace a Porovnání'!X792</f>
        <v>0</v>
      </c>
      <c r="Y792" s="44">
        <f>'Kalkulace a Porovnání'!Y792</f>
        <v>0</v>
      </c>
      <c r="Z792" s="44">
        <f>'Kalkulace a Porovnání'!Z792</f>
        <v>0</v>
      </c>
      <c r="AA792" s="44">
        <f>'Kalkulace a Porovnání'!AA792</f>
        <v>0</v>
      </c>
      <c r="AB792" s="30">
        <f>'Kalkulace a Porovnání'!AB792</f>
        <v>0</v>
      </c>
      <c r="AC792" s="146"/>
      <c r="AD792" s="428"/>
      <c r="AG792" s="252"/>
      <c r="AH792" s="252"/>
      <c r="AI792" s="252"/>
      <c r="AJ792" s="252"/>
      <c r="AK792" s="428"/>
      <c r="AL792" s="146"/>
    </row>
    <row r="793" spans="2:38" x14ac:dyDescent="0.25">
      <c r="B793" s="9" t="s">
        <v>35</v>
      </c>
      <c r="C793" s="10" t="s">
        <v>387</v>
      </c>
      <c r="D793" s="11" t="s">
        <v>10</v>
      </c>
      <c r="E793" s="41">
        <f>'Kalkulace a Porovnání'!E793</f>
        <v>0</v>
      </c>
      <c r="F793" s="41">
        <f>'Kalkulace a Porovnání'!F793</f>
        <v>0</v>
      </c>
      <c r="G793" s="41">
        <f>'Kalkulace a Porovnání'!G793</f>
        <v>0</v>
      </c>
      <c r="H793" s="86">
        <f>'Kalkulace a Porovnání'!H793</f>
        <v>0</v>
      </c>
      <c r="K793" s="9" t="s">
        <v>35</v>
      </c>
      <c r="L793" s="10" t="s">
        <v>387</v>
      </c>
      <c r="M793" s="11" t="s">
        <v>10</v>
      </c>
      <c r="N793" s="41">
        <f>'Kalkulace a Porovnání'!N793</f>
        <v>0</v>
      </c>
      <c r="O793" s="41">
        <f>'Kalkulace a Porovnání'!O793</f>
        <v>0</v>
      </c>
      <c r="P793" s="41">
        <f>'Kalkulace a Porovnání'!P793</f>
        <v>0</v>
      </c>
      <c r="Q793" s="86">
        <f>'Kalkulace a Porovnání'!Q793</f>
        <v>0</v>
      </c>
      <c r="T793" s="9" t="s">
        <v>35</v>
      </c>
      <c r="U793" s="10" t="s">
        <v>387</v>
      </c>
      <c r="V793" s="11" t="s">
        <v>10</v>
      </c>
      <c r="W793" s="41">
        <f>'Kalkulace a Porovnání'!W793</f>
        <v>0</v>
      </c>
      <c r="X793" s="41">
        <f>'Kalkulace a Porovnání'!X793</f>
        <v>0</v>
      </c>
      <c r="Y793" s="41">
        <f>'Kalkulace a Porovnání'!Y793</f>
        <v>0</v>
      </c>
      <c r="Z793" s="41">
        <f>'Kalkulace a Porovnání'!Z793</f>
        <v>0</v>
      </c>
      <c r="AA793" s="41">
        <f>'Kalkulace a Porovnání'!AA793</f>
        <v>0</v>
      </c>
      <c r="AB793" s="86">
        <f>'Kalkulace a Porovnání'!AB793</f>
        <v>0</v>
      </c>
      <c r="AC793" s="146"/>
      <c r="AD793" s="428"/>
      <c r="AG793" s="429"/>
      <c r="AH793" s="429"/>
      <c r="AI793" s="252"/>
      <c r="AJ793" s="252"/>
      <c r="AK793" s="428"/>
      <c r="AL793" s="146"/>
    </row>
    <row r="794" spans="2:38" x14ac:dyDescent="0.25">
      <c r="B794" s="12" t="s">
        <v>37</v>
      </c>
      <c r="C794" s="13" t="s">
        <v>38</v>
      </c>
      <c r="D794" s="3" t="s">
        <v>10</v>
      </c>
      <c r="E794" s="44">
        <f>'Kalkulace a Porovnání'!E794</f>
        <v>0</v>
      </c>
      <c r="F794" s="44">
        <f>'Kalkulace a Porovnání'!F794</f>
        <v>0</v>
      </c>
      <c r="G794" s="44">
        <f>'Kalkulace a Porovnání'!G794</f>
        <v>0</v>
      </c>
      <c r="H794" s="30">
        <f>'Kalkulace a Porovnání'!H794</f>
        <v>0</v>
      </c>
      <c r="K794" s="12" t="s">
        <v>37</v>
      </c>
      <c r="L794" s="13" t="s">
        <v>38</v>
      </c>
      <c r="M794" s="3" t="s">
        <v>10</v>
      </c>
      <c r="N794" s="44">
        <f>'Kalkulace a Porovnání'!N794</f>
        <v>0</v>
      </c>
      <c r="O794" s="44">
        <f>'Kalkulace a Porovnání'!O794</f>
        <v>0</v>
      </c>
      <c r="P794" s="44">
        <f>'Kalkulace a Porovnání'!P794</f>
        <v>0</v>
      </c>
      <c r="Q794" s="30">
        <f>'Kalkulace a Porovnání'!Q794</f>
        <v>0</v>
      </c>
      <c r="T794" s="12" t="s">
        <v>37</v>
      </c>
      <c r="U794" s="13" t="s">
        <v>38</v>
      </c>
      <c r="V794" s="3" t="s">
        <v>10</v>
      </c>
      <c r="W794" s="44">
        <f>'Kalkulace a Porovnání'!W794</f>
        <v>0</v>
      </c>
      <c r="X794" s="44">
        <f>'Kalkulace a Porovnání'!X794</f>
        <v>0</v>
      </c>
      <c r="Y794" s="44">
        <f>'Kalkulace a Porovnání'!Y794</f>
        <v>0</v>
      </c>
      <c r="Z794" s="44">
        <f>'Kalkulace a Porovnání'!Z794</f>
        <v>0</v>
      </c>
      <c r="AA794" s="44">
        <f>'Kalkulace a Porovnání'!AA794</f>
        <v>0</v>
      </c>
      <c r="AB794" s="30">
        <f>'Kalkulace a Porovnání'!AB794</f>
        <v>0</v>
      </c>
      <c r="AC794" s="146"/>
      <c r="AD794" s="428"/>
      <c r="AG794" s="1119"/>
      <c r="AH794" s="1119"/>
      <c r="AI794" s="252"/>
      <c r="AJ794" s="252"/>
      <c r="AK794" s="428"/>
      <c r="AL794" s="146"/>
    </row>
    <row r="795" spans="2:38" x14ac:dyDescent="0.25">
      <c r="B795" s="12" t="s">
        <v>39</v>
      </c>
      <c r="C795" s="12" t="s">
        <v>40</v>
      </c>
      <c r="D795" s="3" t="s">
        <v>10</v>
      </c>
      <c r="E795" s="44">
        <f>'Kalkulace a Porovnání'!E795</f>
        <v>0</v>
      </c>
      <c r="F795" s="44">
        <f>'Kalkulace a Porovnání'!F795</f>
        <v>0</v>
      </c>
      <c r="G795" s="44">
        <f>'Kalkulace a Porovnání'!G795</f>
        <v>0</v>
      </c>
      <c r="H795" s="30">
        <f>'Kalkulace a Porovnání'!H795</f>
        <v>0</v>
      </c>
      <c r="K795" s="12" t="s">
        <v>39</v>
      </c>
      <c r="L795" s="12" t="s">
        <v>40</v>
      </c>
      <c r="M795" s="3" t="s">
        <v>10</v>
      </c>
      <c r="N795" s="44">
        <f>'Kalkulace a Porovnání'!N795</f>
        <v>0</v>
      </c>
      <c r="O795" s="44">
        <f>'Kalkulace a Porovnání'!O795</f>
        <v>0</v>
      </c>
      <c r="P795" s="44">
        <f>'Kalkulace a Porovnání'!P795</f>
        <v>0</v>
      </c>
      <c r="Q795" s="30">
        <f>'Kalkulace a Porovnání'!Q795</f>
        <v>0</v>
      </c>
      <c r="T795" s="12" t="s">
        <v>39</v>
      </c>
      <c r="U795" s="12" t="s">
        <v>40</v>
      </c>
      <c r="V795" s="3" t="s">
        <v>10</v>
      </c>
      <c r="W795" s="44">
        <f>'Kalkulace a Porovnání'!W795</f>
        <v>0</v>
      </c>
      <c r="X795" s="44">
        <f>'Kalkulace a Porovnání'!X795</f>
        <v>0</v>
      </c>
      <c r="Y795" s="44">
        <f>'Kalkulace a Porovnání'!Y795</f>
        <v>0</v>
      </c>
      <c r="Z795" s="44">
        <f>'Kalkulace a Porovnání'!Z795</f>
        <v>0</v>
      </c>
      <c r="AA795" s="44">
        <f>'Kalkulace a Porovnání'!AA795</f>
        <v>0</v>
      </c>
      <c r="AB795" s="30">
        <f>'Kalkulace a Porovnání'!AB795</f>
        <v>0</v>
      </c>
      <c r="AC795" s="146"/>
      <c r="AD795" s="428"/>
      <c r="AG795" s="1119"/>
      <c r="AH795" s="1119"/>
      <c r="AI795" s="252"/>
      <c r="AJ795" s="252"/>
      <c r="AK795" s="428"/>
      <c r="AL795" s="146"/>
    </row>
    <row r="796" spans="2:38" x14ac:dyDescent="0.25">
      <c r="B796" s="12" t="s">
        <v>41</v>
      </c>
      <c r="C796" s="13" t="s">
        <v>42</v>
      </c>
      <c r="D796" s="3" t="s">
        <v>10</v>
      </c>
      <c r="E796" s="44">
        <f>'Kalkulace a Porovnání'!E796</f>
        <v>0</v>
      </c>
      <c r="F796" s="44">
        <f>'Kalkulace a Porovnání'!F796</f>
        <v>0</v>
      </c>
      <c r="G796" s="44">
        <f>'Kalkulace a Porovnání'!G796</f>
        <v>0</v>
      </c>
      <c r="H796" s="30">
        <f>'Kalkulace a Porovnání'!H796</f>
        <v>0</v>
      </c>
      <c r="K796" s="12" t="s">
        <v>41</v>
      </c>
      <c r="L796" s="13" t="s">
        <v>42</v>
      </c>
      <c r="M796" s="3" t="s">
        <v>10</v>
      </c>
      <c r="N796" s="44">
        <f>'Kalkulace a Porovnání'!N796</f>
        <v>0</v>
      </c>
      <c r="O796" s="44">
        <f>'Kalkulace a Porovnání'!O796</f>
        <v>0</v>
      </c>
      <c r="P796" s="44">
        <f>'Kalkulace a Porovnání'!P796</f>
        <v>0</v>
      </c>
      <c r="Q796" s="30">
        <f>'Kalkulace a Porovnání'!Q796</f>
        <v>0</v>
      </c>
      <c r="T796" s="12" t="s">
        <v>41</v>
      </c>
      <c r="U796" s="13" t="s">
        <v>42</v>
      </c>
      <c r="V796" s="3" t="s">
        <v>10</v>
      </c>
      <c r="W796" s="44">
        <f>'Kalkulace a Porovnání'!W796</f>
        <v>0</v>
      </c>
      <c r="X796" s="44">
        <f>'Kalkulace a Porovnání'!X796</f>
        <v>0</v>
      </c>
      <c r="Y796" s="44">
        <f>'Kalkulace a Porovnání'!Y796</f>
        <v>0</v>
      </c>
      <c r="Z796" s="44">
        <f>'Kalkulace a Porovnání'!Z796</f>
        <v>0</v>
      </c>
      <c r="AA796" s="44">
        <f>'Kalkulace a Porovnání'!AA796</f>
        <v>0</v>
      </c>
      <c r="AB796" s="30">
        <f>'Kalkulace a Porovnání'!AB796</f>
        <v>0</v>
      </c>
      <c r="AC796" s="146"/>
      <c r="AD796" s="428"/>
      <c r="AG796" s="426"/>
      <c r="AH796" s="426"/>
      <c r="AI796" s="252"/>
      <c r="AJ796" s="252"/>
      <c r="AK796" s="428"/>
      <c r="AL796" s="146"/>
    </row>
    <row r="797" spans="2:38" x14ac:dyDescent="0.25">
      <c r="B797" s="9" t="s">
        <v>43</v>
      </c>
      <c r="C797" s="10" t="s">
        <v>44</v>
      </c>
      <c r="D797" s="11" t="s">
        <v>10</v>
      </c>
      <c r="E797" s="44">
        <f>'Kalkulace a Porovnání'!E797</f>
        <v>0</v>
      </c>
      <c r="F797" s="44">
        <f>'Kalkulace a Porovnání'!F797</f>
        <v>0</v>
      </c>
      <c r="G797" s="44">
        <f>'Kalkulace a Porovnání'!G797</f>
        <v>0</v>
      </c>
      <c r="H797" s="30">
        <f>'Kalkulace a Porovnání'!H797</f>
        <v>0</v>
      </c>
      <c r="K797" s="9" t="s">
        <v>43</v>
      </c>
      <c r="L797" s="10" t="s">
        <v>44</v>
      </c>
      <c r="M797" s="11" t="s">
        <v>10</v>
      </c>
      <c r="N797" s="44">
        <f>'Kalkulace a Porovnání'!N797</f>
        <v>0</v>
      </c>
      <c r="O797" s="44">
        <f>'Kalkulace a Porovnání'!O797</f>
        <v>0</v>
      </c>
      <c r="P797" s="44">
        <f>'Kalkulace a Porovnání'!P797</f>
        <v>0</v>
      </c>
      <c r="Q797" s="30">
        <f>'Kalkulace a Porovnání'!Q797</f>
        <v>0</v>
      </c>
      <c r="T797" s="9" t="s">
        <v>43</v>
      </c>
      <c r="U797" s="10" t="s">
        <v>44</v>
      </c>
      <c r="V797" s="11" t="s">
        <v>10</v>
      </c>
      <c r="W797" s="44">
        <f>'Kalkulace a Porovnání'!W797</f>
        <v>0</v>
      </c>
      <c r="X797" s="44">
        <f>'Kalkulace a Porovnání'!X797</f>
        <v>0</v>
      </c>
      <c r="Y797" s="44">
        <f>'Kalkulace a Porovnání'!Y797</f>
        <v>0</v>
      </c>
      <c r="Z797" s="44">
        <f>'Kalkulace a Porovnání'!Z797</f>
        <v>0</v>
      </c>
      <c r="AA797" s="44">
        <f>'Kalkulace a Porovnání'!AA797</f>
        <v>0</v>
      </c>
      <c r="AB797" s="30">
        <f>'Kalkulace a Porovnání'!AB797</f>
        <v>0</v>
      </c>
      <c r="AC797" s="146"/>
      <c r="AD797" s="428"/>
      <c r="AG797" s="147"/>
      <c r="AH797" s="147"/>
      <c r="AI797" s="252"/>
      <c r="AJ797" s="252"/>
      <c r="AK797" s="428"/>
      <c r="AL797" s="146"/>
    </row>
    <row r="798" spans="2:38" x14ac:dyDescent="0.25">
      <c r="B798" s="9" t="s">
        <v>45</v>
      </c>
      <c r="C798" s="10" t="s">
        <v>388</v>
      </c>
      <c r="D798" s="11" t="s">
        <v>10</v>
      </c>
      <c r="E798" s="44">
        <f>'Kalkulace a Porovnání'!E798</f>
        <v>0</v>
      </c>
      <c r="F798" s="44">
        <f>'Kalkulace a Porovnání'!F798</f>
        <v>0</v>
      </c>
      <c r="G798" s="44">
        <f>'Kalkulace a Porovnání'!G798</f>
        <v>0</v>
      </c>
      <c r="H798" s="30">
        <f>'Kalkulace a Porovnání'!H798</f>
        <v>0</v>
      </c>
      <c r="K798" s="9" t="s">
        <v>45</v>
      </c>
      <c r="L798" s="10" t="s">
        <v>388</v>
      </c>
      <c r="M798" s="11" t="s">
        <v>10</v>
      </c>
      <c r="N798" s="44">
        <f>'Kalkulace a Porovnání'!N798</f>
        <v>0</v>
      </c>
      <c r="O798" s="44">
        <f>'Kalkulace a Porovnání'!O798</f>
        <v>0</v>
      </c>
      <c r="P798" s="44">
        <f>'Kalkulace a Porovnání'!P798</f>
        <v>0</v>
      </c>
      <c r="Q798" s="30">
        <f>'Kalkulace a Porovnání'!Q798</f>
        <v>0</v>
      </c>
      <c r="T798" s="9" t="s">
        <v>45</v>
      </c>
      <c r="U798" s="10" t="s">
        <v>388</v>
      </c>
      <c r="V798" s="11" t="s">
        <v>10</v>
      </c>
      <c r="W798" s="44">
        <f>'Kalkulace a Porovnání'!W798</f>
        <v>0</v>
      </c>
      <c r="X798" s="44">
        <f>'Kalkulace a Porovnání'!X798</f>
        <v>0</v>
      </c>
      <c r="Y798" s="44">
        <f>'Kalkulace a Porovnání'!Y798</f>
        <v>0</v>
      </c>
      <c r="Z798" s="44">
        <f>'Kalkulace a Porovnání'!Z798</f>
        <v>0</v>
      </c>
      <c r="AA798" s="44">
        <f>'Kalkulace a Porovnání'!AA798</f>
        <v>0</v>
      </c>
      <c r="AB798" s="30">
        <f>'Kalkulace a Porovnání'!AB798</f>
        <v>0</v>
      </c>
      <c r="AC798" s="146"/>
      <c r="AD798" s="428"/>
      <c r="AG798" s="147"/>
      <c r="AH798" s="147"/>
      <c r="AI798" s="252"/>
      <c r="AJ798" s="252"/>
      <c r="AK798" s="428"/>
      <c r="AL798" s="146"/>
    </row>
    <row r="799" spans="2:38" x14ac:dyDescent="0.25">
      <c r="B799" s="9" t="s">
        <v>46</v>
      </c>
      <c r="C799" s="10" t="s">
        <v>47</v>
      </c>
      <c r="D799" s="11" t="s">
        <v>10</v>
      </c>
      <c r="E799" s="44">
        <f>'Kalkulace a Porovnání'!E799</f>
        <v>0</v>
      </c>
      <c r="F799" s="44">
        <f>'Kalkulace a Porovnání'!F799</f>
        <v>0</v>
      </c>
      <c r="G799" s="44">
        <f>'Kalkulace a Porovnání'!G799</f>
        <v>0</v>
      </c>
      <c r="H799" s="30">
        <f>'Kalkulace a Porovnání'!H799</f>
        <v>0</v>
      </c>
      <c r="K799" s="9" t="s">
        <v>46</v>
      </c>
      <c r="L799" s="10" t="s">
        <v>47</v>
      </c>
      <c r="M799" s="11" t="s">
        <v>10</v>
      </c>
      <c r="N799" s="44">
        <f>'Kalkulace a Porovnání'!N799</f>
        <v>0</v>
      </c>
      <c r="O799" s="44">
        <f>'Kalkulace a Porovnání'!O799</f>
        <v>0</v>
      </c>
      <c r="P799" s="44">
        <f>'Kalkulace a Porovnání'!P799</f>
        <v>0</v>
      </c>
      <c r="Q799" s="30">
        <f>'Kalkulace a Porovnání'!Q799</f>
        <v>0</v>
      </c>
      <c r="T799" s="9" t="s">
        <v>46</v>
      </c>
      <c r="U799" s="10" t="s">
        <v>47</v>
      </c>
      <c r="V799" s="11" t="s">
        <v>10</v>
      </c>
      <c r="W799" s="44">
        <f>'Kalkulace a Porovnání'!W799</f>
        <v>0</v>
      </c>
      <c r="X799" s="44">
        <f>'Kalkulace a Porovnání'!X799</f>
        <v>0</v>
      </c>
      <c r="Y799" s="44">
        <f>'Kalkulace a Porovnání'!Y799</f>
        <v>0</v>
      </c>
      <c r="Z799" s="44">
        <f>'Kalkulace a Porovnání'!Z799</f>
        <v>0</v>
      </c>
      <c r="AA799" s="44">
        <f>'Kalkulace a Porovnání'!AA799</f>
        <v>0</v>
      </c>
      <c r="AB799" s="30">
        <f>'Kalkulace a Porovnání'!AB799</f>
        <v>0</v>
      </c>
      <c r="AC799" s="146"/>
      <c r="AD799" s="428"/>
      <c r="AG799" s="147"/>
      <c r="AH799" s="147"/>
      <c r="AI799" s="252"/>
      <c r="AJ799" s="252"/>
      <c r="AK799" s="428"/>
      <c r="AL799" s="146"/>
    </row>
    <row r="800" spans="2:38" x14ac:dyDescent="0.25">
      <c r="B800" s="9" t="s">
        <v>48</v>
      </c>
      <c r="C800" s="10" t="s">
        <v>49</v>
      </c>
      <c r="D800" s="11" t="s">
        <v>10</v>
      </c>
      <c r="E800" s="44">
        <f>'Kalkulace a Porovnání'!E800</f>
        <v>0</v>
      </c>
      <c r="F800" s="44">
        <f>'Kalkulace a Porovnání'!F800</f>
        <v>0</v>
      </c>
      <c r="G800" s="44">
        <f>'Kalkulace a Porovnání'!G800</f>
        <v>0</v>
      </c>
      <c r="H800" s="30">
        <f>'Kalkulace a Porovnání'!H800</f>
        <v>0</v>
      </c>
      <c r="K800" s="9" t="s">
        <v>48</v>
      </c>
      <c r="L800" s="10" t="s">
        <v>49</v>
      </c>
      <c r="M800" s="11" t="s">
        <v>10</v>
      </c>
      <c r="N800" s="44">
        <f>'Kalkulace a Porovnání'!N800</f>
        <v>0</v>
      </c>
      <c r="O800" s="44">
        <f>'Kalkulace a Porovnání'!O800</f>
        <v>0</v>
      </c>
      <c r="P800" s="44">
        <f>'Kalkulace a Porovnání'!P800</f>
        <v>0</v>
      </c>
      <c r="Q800" s="30">
        <f>'Kalkulace a Porovnání'!Q800</f>
        <v>0</v>
      </c>
      <c r="T800" s="9" t="s">
        <v>48</v>
      </c>
      <c r="U800" s="10" t="s">
        <v>49</v>
      </c>
      <c r="V800" s="11" t="s">
        <v>10</v>
      </c>
      <c r="W800" s="44">
        <f>'Kalkulace a Porovnání'!W800</f>
        <v>0</v>
      </c>
      <c r="X800" s="44">
        <f>'Kalkulace a Porovnání'!X800</f>
        <v>0</v>
      </c>
      <c r="Y800" s="44">
        <f>'Kalkulace a Porovnání'!Y800</f>
        <v>0</v>
      </c>
      <c r="Z800" s="44">
        <f>'Kalkulace a Porovnání'!Z800</f>
        <v>0</v>
      </c>
      <c r="AA800" s="44">
        <f>'Kalkulace a Porovnání'!AA800</f>
        <v>0</v>
      </c>
      <c r="AB800" s="30">
        <f>'Kalkulace a Porovnání'!AB800</f>
        <v>0</v>
      </c>
      <c r="AC800" s="146"/>
      <c r="AD800" s="428"/>
      <c r="AG800" s="147"/>
      <c r="AH800" s="147"/>
      <c r="AI800" s="252"/>
      <c r="AJ800" s="252"/>
      <c r="AK800" s="428"/>
      <c r="AL800" s="146"/>
    </row>
    <row r="801" spans="2:38" x14ac:dyDescent="0.25">
      <c r="B801" s="12" t="s">
        <v>386</v>
      </c>
      <c r="C801" s="13" t="s">
        <v>385</v>
      </c>
      <c r="D801" s="3" t="s">
        <v>10</v>
      </c>
      <c r="E801" s="44">
        <f>'Kalkulace a Porovnání'!E801</f>
        <v>0</v>
      </c>
      <c r="F801" s="44">
        <f>'Kalkulace a Porovnání'!F801</f>
        <v>0</v>
      </c>
      <c r="G801" s="44">
        <f>'Kalkulace a Porovnání'!G801</f>
        <v>0</v>
      </c>
      <c r="H801" s="30">
        <f>'Kalkulace a Porovnání'!H801</f>
        <v>0</v>
      </c>
      <c r="K801" s="12" t="s">
        <v>386</v>
      </c>
      <c r="L801" s="13" t="s">
        <v>385</v>
      </c>
      <c r="M801" s="3" t="s">
        <v>10</v>
      </c>
      <c r="N801" s="44">
        <f>'Kalkulace a Porovnání'!N801</f>
        <v>0</v>
      </c>
      <c r="O801" s="44">
        <f>'Kalkulace a Porovnání'!O801</f>
        <v>0</v>
      </c>
      <c r="P801" s="44">
        <f>'Kalkulace a Porovnání'!P801</f>
        <v>0</v>
      </c>
      <c r="Q801" s="30">
        <f>'Kalkulace a Porovnání'!Q801</f>
        <v>0</v>
      </c>
      <c r="T801" s="12" t="s">
        <v>386</v>
      </c>
      <c r="U801" s="13" t="s">
        <v>385</v>
      </c>
      <c r="V801" s="3" t="s">
        <v>10</v>
      </c>
      <c r="W801" s="44">
        <f>'Kalkulace a Porovnání'!W801</f>
        <v>0</v>
      </c>
      <c r="X801" s="44">
        <f>'Kalkulace a Porovnání'!X801</f>
        <v>0</v>
      </c>
      <c r="Y801" s="44">
        <f>'Kalkulace a Porovnání'!Y801</f>
        <v>0</v>
      </c>
      <c r="Z801" s="44">
        <f>'Kalkulace a Porovnání'!Z801</f>
        <v>0</v>
      </c>
      <c r="AA801" s="44">
        <f>'Kalkulace a Porovnání'!AA801</f>
        <v>0</v>
      </c>
      <c r="AB801" s="30">
        <f>'Kalkulace a Porovnání'!AB801</f>
        <v>0</v>
      </c>
      <c r="AC801" s="146"/>
      <c r="AD801" s="428"/>
      <c r="AG801" s="147"/>
      <c r="AH801" s="147"/>
      <c r="AI801" s="252"/>
      <c r="AJ801" s="252"/>
      <c r="AK801" s="428"/>
      <c r="AL801" s="146"/>
    </row>
    <row r="802" spans="2:38" x14ac:dyDescent="0.25">
      <c r="B802" s="9" t="s">
        <v>50</v>
      </c>
      <c r="C802" s="10" t="s">
        <v>391</v>
      </c>
      <c r="D802" s="11" t="s">
        <v>10</v>
      </c>
      <c r="E802" s="41">
        <f>'Kalkulace a Porovnání'!E802</f>
        <v>0</v>
      </c>
      <c r="F802" s="41">
        <f>'Kalkulace a Porovnání'!F802</f>
        <v>0</v>
      </c>
      <c r="G802" s="41">
        <f>'Kalkulace a Porovnání'!G802</f>
        <v>0</v>
      </c>
      <c r="H802" s="86">
        <f>'Kalkulace a Porovnání'!H802</f>
        <v>0</v>
      </c>
      <c r="K802" s="9" t="s">
        <v>50</v>
      </c>
      <c r="L802" s="10" t="s">
        <v>391</v>
      </c>
      <c r="M802" s="11" t="s">
        <v>10</v>
      </c>
      <c r="N802" s="41">
        <f>'Kalkulace a Porovnání'!N802</f>
        <v>0</v>
      </c>
      <c r="O802" s="41">
        <f>'Kalkulace a Porovnání'!O802</f>
        <v>0</v>
      </c>
      <c r="P802" s="41">
        <f>'Kalkulace a Porovnání'!P802</f>
        <v>0</v>
      </c>
      <c r="Q802" s="86">
        <f>'Kalkulace a Porovnání'!Q802</f>
        <v>0</v>
      </c>
      <c r="T802" s="9" t="s">
        <v>50</v>
      </c>
      <c r="U802" s="10" t="s">
        <v>391</v>
      </c>
      <c r="V802" s="11" t="s">
        <v>10</v>
      </c>
      <c r="W802" s="41">
        <f>'Kalkulace a Porovnání'!W802</f>
        <v>0</v>
      </c>
      <c r="X802" s="41">
        <f>'Kalkulace a Porovnání'!X802</f>
        <v>0</v>
      </c>
      <c r="Y802" s="41">
        <f>'Kalkulace a Porovnání'!Y802</f>
        <v>0</v>
      </c>
      <c r="Z802" s="41">
        <f>'Kalkulace a Porovnání'!Z802</f>
        <v>0</v>
      </c>
      <c r="AA802" s="41">
        <f>'Kalkulace a Porovnání'!AA802</f>
        <v>0</v>
      </c>
      <c r="AB802" s="86">
        <f>'Kalkulace a Porovnání'!AB802</f>
        <v>0</v>
      </c>
      <c r="AC802" s="146"/>
      <c r="AD802" s="428"/>
      <c r="AG802" s="147"/>
      <c r="AH802" s="147"/>
      <c r="AI802" s="252"/>
      <c r="AJ802" s="252"/>
      <c r="AK802" s="428"/>
      <c r="AL802" s="146"/>
    </row>
    <row r="803" spans="2:38" x14ac:dyDescent="0.25">
      <c r="B803" s="12" t="s">
        <v>389</v>
      </c>
      <c r="C803" s="13" t="s">
        <v>96</v>
      </c>
      <c r="D803" s="3" t="s">
        <v>10</v>
      </c>
      <c r="E803" s="329">
        <f>'Kalkulace a Porovnání'!E803</f>
        <v>0</v>
      </c>
      <c r="F803" s="329">
        <f>'Kalkulace a Porovnání'!F803</f>
        <v>0</v>
      </c>
      <c r="G803" s="329">
        <f>'Kalkulace a Porovnání'!G803</f>
        <v>0</v>
      </c>
      <c r="H803" s="330">
        <f>'Kalkulace a Porovnání'!H803</f>
        <v>0</v>
      </c>
      <c r="K803" s="12" t="s">
        <v>389</v>
      </c>
      <c r="L803" s="13" t="s">
        <v>96</v>
      </c>
      <c r="M803" s="3" t="s">
        <v>10</v>
      </c>
      <c r="N803" s="329">
        <f>'Kalkulace a Porovnání'!N803</f>
        <v>0</v>
      </c>
      <c r="O803" s="329">
        <f>'Kalkulace a Porovnání'!O803</f>
        <v>0</v>
      </c>
      <c r="P803" s="329">
        <f>'Kalkulace a Porovnání'!P803</f>
        <v>0</v>
      </c>
      <c r="Q803" s="330">
        <f>'Kalkulace a Porovnání'!Q803</f>
        <v>0</v>
      </c>
      <c r="T803" s="12" t="s">
        <v>389</v>
      </c>
      <c r="U803" s="13" t="s">
        <v>96</v>
      </c>
      <c r="V803" s="3" t="s">
        <v>10</v>
      </c>
      <c r="W803" s="329">
        <f>'Kalkulace a Porovnání'!W803</f>
        <v>0</v>
      </c>
      <c r="X803" s="329">
        <f>'Kalkulace a Porovnání'!X803</f>
        <v>0</v>
      </c>
      <c r="Y803" s="329">
        <f>'Kalkulace a Porovnání'!Y803</f>
        <v>0</v>
      </c>
      <c r="Z803" s="329">
        <f>'Kalkulace a Porovnání'!Z803</f>
        <v>0</v>
      </c>
      <c r="AA803" s="329">
        <f>'Kalkulace a Porovnání'!AA803</f>
        <v>0</v>
      </c>
      <c r="AB803" s="330">
        <f>'Kalkulace a Porovnání'!AB803</f>
        <v>0</v>
      </c>
      <c r="AC803" s="146"/>
      <c r="AD803" s="428"/>
      <c r="AG803" s="1120"/>
      <c r="AH803" s="1120"/>
      <c r="AI803" s="252"/>
      <c r="AJ803" s="252"/>
      <c r="AK803" s="428"/>
      <c r="AL803" s="146"/>
    </row>
    <row r="804" spans="2:38" x14ac:dyDescent="0.25">
      <c r="B804" s="12" t="s">
        <v>389</v>
      </c>
      <c r="C804" s="13" t="s">
        <v>97</v>
      </c>
      <c r="D804" s="3" t="s">
        <v>10</v>
      </c>
      <c r="E804" s="329">
        <f>'Kalkulace a Porovnání'!E804</f>
        <v>0</v>
      </c>
      <c r="F804" s="329">
        <f>'Kalkulace a Porovnání'!F804</f>
        <v>0</v>
      </c>
      <c r="G804" s="329">
        <f>'Kalkulace a Porovnání'!G804</f>
        <v>0</v>
      </c>
      <c r="H804" s="330">
        <f>'Kalkulace a Porovnání'!H804</f>
        <v>0</v>
      </c>
      <c r="K804" s="12" t="s">
        <v>389</v>
      </c>
      <c r="L804" s="13" t="s">
        <v>97</v>
      </c>
      <c r="M804" s="3" t="s">
        <v>10</v>
      </c>
      <c r="N804" s="329">
        <f>'Kalkulace a Porovnání'!N804</f>
        <v>0</v>
      </c>
      <c r="O804" s="329">
        <f>'Kalkulace a Porovnání'!O804</f>
        <v>0</v>
      </c>
      <c r="P804" s="329">
        <f>'Kalkulace a Porovnání'!P804</f>
        <v>0</v>
      </c>
      <c r="Q804" s="330">
        <f>'Kalkulace a Porovnání'!Q804</f>
        <v>0</v>
      </c>
      <c r="T804" s="12" t="s">
        <v>389</v>
      </c>
      <c r="U804" s="13" t="s">
        <v>97</v>
      </c>
      <c r="V804" s="3" t="s">
        <v>10</v>
      </c>
      <c r="W804" s="329">
        <f>'Kalkulace a Porovnání'!W804</f>
        <v>0</v>
      </c>
      <c r="X804" s="329">
        <f>'Kalkulace a Porovnání'!X804</f>
        <v>0</v>
      </c>
      <c r="Y804" s="329">
        <f>'Kalkulace a Porovnání'!Y804</f>
        <v>0</v>
      </c>
      <c r="Z804" s="329">
        <f>'Kalkulace a Porovnání'!Z804</f>
        <v>0</v>
      </c>
      <c r="AA804" s="329">
        <f>'Kalkulace a Porovnání'!AA804</f>
        <v>0</v>
      </c>
      <c r="AB804" s="330">
        <f>'Kalkulace a Porovnání'!AB804</f>
        <v>0</v>
      </c>
      <c r="AC804" s="146"/>
      <c r="AD804" s="428"/>
      <c r="AG804" s="1120"/>
      <c r="AH804" s="1120"/>
      <c r="AI804" s="252"/>
      <c r="AJ804" s="252"/>
      <c r="AK804" s="428"/>
      <c r="AL804" s="146"/>
    </row>
    <row r="805" spans="2:38" x14ac:dyDescent="0.25">
      <c r="B805" s="12" t="s">
        <v>51</v>
      </c>
      <c r="C805" s="13" t="s">
        <v>54</v>
      </c>
      <c r="D805" s="3" t="s">
        <v>55</v>
      </c>
      <c r="E805" s="331">
        <f>'Kalkulace a Porovnání'!E805</f>
        <v>0</v>
      </c>
      <c r="F805" s="331">
        <f>'Kalkulace a Porovnání'!F805</f>
        <v>0</v>
      </c>
      <c r="G805" s="331">
        <f>'Kalkulace a Porovnání'!G805</f>
        <v>0</v>
      </c>
      <c r="H805" s="332">
        <f>'Kalkulace a Porovnání'!H805</f>
        <v>0</v>
      </c>
      <c r="K805" s="12" t="s">
        <v>51</v>
      </c>
      <c r="L805" s="13" t="s">
        <v>54</v>
      </c>
      <c r="M805" s="3" t="s">
        <v>55</v>
      </c>
      <c r="N805" s="331">
        <f>'Kalkulace a Porovnání'!N805</f>
        <v>0</v>
      </c>
      <c r="O805" s="331">
        <f>'Kalkulace a Porovnání'!O805</f>
        <v>0</v>
      </c>
      <c r="P805" s="331">
        <f>'Kalkulace a Porovnání'!P805</f>
        <v>0</v>
      </c>
      <c r="Q805" s="332">
        <f>'Kalkulace a Porovnání'!Q805</f>
        <v>0</v>
      </c>
      <c r="T805" s="12" t="s">
        <v>51</v>
      </c>
      <c r="U805" s="13" t="s">
        <v>54</v>
      </c>
      <c r="V805" s="3" t="s">
        <v>55</v>
      </c>
      <c r="W805" s="331">
        <f>'Kalkulace a Porovnání'!W805</f>
        <v>0</v>
      </c>
      <c r="X805" s="331">
        <f>'Kalkulace a Porovnání'!X805</f>
        <v>0</v>
      </c>
      <c r="Y805" s="331">
        <f>'Kalkulace a Porovnání'!Y805</f>
        <v>0</v>
      </c>
      <c r="Z805" s="331">
        <f>'Kalkulace a Porovnání'!Z805</f>
        <v>0</v>
      </c>
      <c r="AA805" s="331">
        <f>'Kalkulace a Porovnání'!AA805</f>
        <v>0</v>
      </c>
      <c r="AB805" s="332">
        <f>'Kalkulace a Porovnání'!AB805</f>
        <v>0</v>
      </c>
      <c r="AC805" s="146"/>
      <c r="AD805" s="428"/>
      <c r="AG805" s="1119"/>
      <c r="AH805" s="1119"/>
      <c r="AI805" s="252"/>
      <c r="AJ805" s="252"/>
      <c r="AK805" s="428"/>
      <c r="AL805" s="146"/>
    </row>
    <row r="806" spans="2:38" x14ac:dyDescent="0.25">
      <c r="B806" s="12" t="s">
        <v>52</v>
      </c>
      <c r="C806" s="13" t="s">
        <v>57</v>
      </c>
      <c r="D806" s="3" t="s">
        <v>58</v>
      </c>
      <c r="E806" s="44">
        <f>'Kalkulace a Porovnání'!E806</f>
        <v>0</v>
      </c>
      <c r="F806" s="44">
        <f>'Kalkulace a Porovnání'!F806</f>
        <v>0</v>
      </c>
      <c r="G806" s="44">
        <f>'Kalkulace a Porovnání'!G806</f>
        <v>0</v>
      </c>
      <c r="H806" s="30">
        <f>'Kalkulace a Porovnání'!H806</f>
        <v>0</v>
      </c>
      <c r="K806" s="12" t="s">
        <v>52</v>
      </c>
      <c r="L806" s="13" t="s">
        <v>57</v>
      </c>
      <c r="M806" s="3" t="s">
        <v>58</v>
      </c>
      <c r="N806" s="44">
        <f>'Kalkulace a Porovnání'!N806</f>
        <v>0</v>
      </c>
      <c r="O806" s="44">
        <f>'Kalkulace a Porovnání'!O806</f>
        <v>0</v>
      </c>
      <c r="P806" s="44">
        <f>'Kalkulace a Porovnání'!P806</f>
        <v>0</v>
      </c>
      <c r="Q806" s="30">
        <f>'Kalkulace a Porovnání'!Q806</f>
        <v>0</v>
      </c>
      <c r="T806" s="12" t="s">
        <v>52</v>
      </c>
      <c r="U806" s="13" t="s">
        <v>57</v>
      </c>
      <c r="V806" s="3" t="s">
        <v>58</v>
      </c>
      <c r="W806" s="44">
        <f>'Kalkulace a Porovnání'!W806</f>
        <v>0</v>
      </c>
      <c r="X806" s="44">
        <f>'Kalkulace a Porovnání'!X806</f>
        <v>0</v>
      </c>
      <c r="Y806" s="44">
        <f>'Kalkulace a Porovnání'!Y806</f>
        <v>0</v>
      </c>
      <c r="Z806" s="44">
        <f>'Kalkulace a Porovnání'!Z806</f>
        <v>0</v>
      </c>
      <c r="AA806" s="44">
        <f>'Kalkulace a Porovnání'!AA806</f>
        <v>0</v>
      </c>
      <c r="AB806" s="30">
        <f>'Kalkulace a Porovnání'!AB806</f>
        <v>0</v>
      </c>
      <c r="AC806" s="146"/>
      <c r="AD806" s="428"/>
      <c r="AG806" s="1119"/>
      <c r="AH806" s="1119"/>
      <c r="AI806" s="252"/>
      <c r="AJ806" s="252"/>
      <c r="AK806" s="428"/>
      <c r="AL806" s="146"/>
    </row>
    <row r="807" spans="2:38" x14ac:dyDescent="0.25">
      <c r="B807" s="12" t="s">
        <v>53</v>
      </c>
      <c r="C807" s="13" t="s">
        <v>60</v>
      </c>
      <c r="D807" s="3" t="s">
        <v>58</v>
      </c>
      <c r="E807" s="44">
        <f>'Kalkulace a Porovnání'!E807</f>
        <v>0</v>
      </c>
      <c r="F807" s="44">
        <f>'Kalkulace a Porovnání'!F807</f>
        <v>0</v>
      </c>
      <c r="G807" s="44">
        <f>'Kalkulace a Porovnání'!G807</f>
        <v>0</v>
      </c>
      <c r="H807" s="30">
        <f>'Kalkulace a Porovnání'!H807</f>
        <v>0</v>
      </c>
      <c r="K807" s="12" t="s">
        <v>53</v>
      </c>
      <c r="L807" s="13" t="s">
        <v>60</v>
      </c>
      <c r="M807" s="3" t="s">
        <v>58</v>
      </c>
      <c r="N807" s="44">
        <f>'Kalkulace a Porovnání'!N807</f>
        <v>0</v>
      </c>
      <c r="O807" s="44">
        <f>'Kalkulace a Porovnání'!O807</f>
        <v>0</v>
      </c>
      <c r="P807" s="44">
        <f>'Kalkulace a Porovnání'!P807</f>
        <v>0</v>
      </c>
      <c r="Q807" s="30">
        <f>'Kalkulace a Porovnání'!Q807</f>
        <v>0</v>
      </c>
      <c r="T807" s="12" t="s">
        <v>53</v>
      </c>
      <c r="U807" s="13" t="s">
        <v>60</v>
      </c>
      <c r="V807" s="3" t="s">
        <v>58</v>
      </c>
      <c r="W807" s="44">
        <f>'Kalkulace a Porovnání'!W807</f>
        <v>0</v>
      </c>
      <c r="X807" s="44">
        <f>'Kalkulace a Porovnání'!X807</f>
        <v>0</v>
      </c>
      <c r="Y807" s="44">
        <f>'Kalkulace a Porovnání'!Y807</f>
        <v>0</v>
      </c>
      <c r="Z807" s="44">
        <f>'Kalkulace a Porovnání'!Z807</f>
        <v>0</v>
      </c>
      <c r="AA807" s="44">
        <f>'Kalkulace a Porovnání'!AA807</f>
        <v>0</v>
      </c>
      <c r="AB807" s="30">
        <f>'Kalkulace a Porovnání'!AB807</f>
        <v>0</v>
      </c>
      <c r="AC807" s="146"/>
      <c r="AD807" s="428"/>
      <c r="AG807" s="147"/>
      <c r="AH807" s="147"/>
      <c r="AI807" s="252"/>
      <c r="AJ807" s="252"/>
      <c r="AK807" s="428"/>
      <c r="AL807" s="146"/>
    </row>
    <row r="808" spans="2:38" x14ac:dyDescent="0.25">
      <c r="B808" s="12" t="s">
        <v>56</v>
      </c>
      <c r="C808" s="13" t="s">
        <v>62</v>
      </c>
      <c r="D808" s="3" t="s">
        <v>58</v>
      </c>
      <c r="E808" s="44">
        <f>'Kalkulace a Porovnání'!E808</f>
        <v>0</v>
      </c>
      <c r="F808" s="44">
        <f>'Kalkulace a Porovnání'!F808</f>
        <v>0</v>
      </c>
      <c r="G808" s="44">
        <f>'Kalkulace a Porovnání'!G808</f>
        <v>0</v>
      </c>
      <c r="H808" s="30">
        <f>'Kalkulace a Porovnání'!H808</f>
        <v>0</v>
      </c>
      <c r="K808" s="12" t="s">
        <v>56</v>
      </c>
      <c r="L808" s="13" t="s">
        <v>62</v>
      </c>
      <c r="M808" s="3" t="s">
        <v>58</v>
      </c>
      <c r="N808" s="44">
        <f>'Kalkulace a Porovnání'!N808</f>
        <v>0</v>
      </c>
      <c r="O808" s="44">
        <f>'Kalkulace a Porovnání'!O808</f>
        <v>0</v>
      </c>
      <c r="P808" s="44">
        <f>'Kalkulace a Porovnání'!P808</f>
        <v>0</v>
      </c>
      <c r="Q808" s="30">
        <f>'Kalkulace a Porovnání'!Q808</f>
        <v>0</v>
      </c>
      <c r="T808" s="12" t="s">
        <v>56</v>
      </c>
      <c r="U808" s="13" t="s">
        <v>62</v>
      </c>
      <c r="V808" s="3" t="s">
        <v>58</v>
      </c>
      <c r="W808" s="44">
        <f>'Kalkulace a Porovnání'!W808</f>
        <v>0</v>
      </c>
      <c r="X808" s="44">
        <f>'Kalkulace a Porovnání'!X808</f>
        <v>0</v>
      </c>
      <c r="Y808" s="44">
        <f>'Kalkulace a Porovnání'!Y808</f>
        <v>0</v>
      </c>
      <c r="Z808" s="44">
        <f>'Kalkulace a Porovnání'!Z808</f>
        <v>0</v>
      </c>
      <c r="AA808" s="44">
        <f>'Kalkulace a Porovnání'!AA808</f>
        <v>0</v>
      </c>
      <c r="AB808" s="30">
        <f>'Kalkulace a Porovnání'!AB808</f>
        <v>0</v>
      </c>
      <c r="AC808" s="146"/>
      <c r="AD808" s="428"/>
      <c r="AG808" s="430"/>
      <c r="AH808" s="430"/>
      <c r="AI808" s="252"/>
      <c r="AJ808" s="252"/>
      <c r="AK808" s="428"/>
      <c r="AL808" s="146"/>
    </row>
    <row r="809" spans="2:38" x14ac:dyDescent="0.25">
      <c r="B809" s="12" t="s">
        <v>59</v>
      </c>
      <c r="C809" s="13" t="s">
        <v>60</v>
      </c>
      <c r="D809" s="3" t="s">
        <v>58</v>
      </c>
      <c r="E809" s="44">
        <f>'Kalkulace a Porovnání'!E809</f>
        <v>0</v>
      </c>
      <c r="F809" s="44">
        <f>'Kalkulace a Porovnání'!F809</f>
        <v>0</v>
      </c>
      <c r="G809" s="44">
        <f>'Kalkulace a Porovnání'!G809</f>
        <v>0</v>
      </c>
      <c r="H809" s="30">
        <f>'Kalkulace a Porovnání'!H809</f>
        <v>0</v>
      </c>
      <c r="K809" s="12" t="s">
        <v>59</v>
      </c>
      <c r="L809" s="13" t="s">
        <v>60</v>
      </c>
      <c r="M809" s="3" t="s">
        <v>58</v>
      </c>
      <c r="N809" s="44">
        <f>'Kalkulace a Porovnání'!N809</f>
        <v>0</v>
      </c>
      <c r="O809" s="44">
        <f>'Kalkulace a Porovnání'!O809</f>
        <v>0</v>
      </c>
      <c r="P809" s="44">
        <f>'Kalkulace a Porovnání'!P809</f>
        <v>0</v>
      </c>
      <c r="Q809" s="30">
        <f>'Kalkulace a Porovnání'!Q809</f>
        <v>0</v>
      </c>
      <c r="T809" s="12" t="s">
        <v>59</v>
      </c>
      <c r="U809" s="13" t="s">
        <v>60</v>
      </c>
      <c r="V809" s="3" t="s">
        <v>58</v>
      </c>
      <c r="W809" s="44">
        <f>'Kalkulace a Porovnání'!W809</f>
        <v>0</v>
      </c>
      <c r="X809" s="44">
        <f>'Kalkulace a Porovnání'!X809</f>
        <v>0</v>
      </c>
      <c r="Y809" s="44">
        <f>'Kalkulace a Porovnání'!Y809</f>
        <v>0</v>
      </c>
      <c r="Z809" s="44">
        <f>'Kalkulace a Porovnání'!Z809</f>
        <v>0</v>
      </c>
      <c r="AA809" s="44">
        <f>'Kalkulace a Porovnání'!AA809</f>
        <v>0</v>
      </c>
      <c r="AB809" s="30">
        <f>'Kalkulace a Porovnání'!AB809</f>
        <v>0</v>
      </c>
      <c r="AC809" s="146"/>
      <c r="AD809" s="428"/>
      <c r="AG809" s="427"/>
      <c r="AH809" s="427"/>
      <c r="AI809" s="252"/>
      <c r="AJ809" s="252"/>
      <c r="AK809" s="428"/>
      <c r="AL809" s="146"/>
    </row>
    <row r="810" spans="2:38" x14ac:dyDescent="0.25">
      <c r="B810" s="12" t="s">
        <v>61</v>
      </c>
      <c r="C810" s="13" t="s">
        <v>65</v>
      </c>
      <c r="D810" s="3" t="s">
        <v>58</v>
      </c>
      <c r="E810" s="44">
        <f>'Kalkulace a Porovnání'!E810</f>
        <v>0</v>
      </c>
      <c r="F810" s="44">
        <f>'Kalkulace a Porovnání'!F810</f>
        <v>0</v>
      </c>
      <c r="G810" s="44">
        <f>'Kalkulace a Porovnání'!G810</f>
        <v>0</v>
      </c>
      <c r="H810" s="30">
        <f>'Kalkulace a Porovnání'!H810</f>
        <v>0</v>
      </c>
      <c r="K810" s="12" t="s">
        <v>61</v>
      </c>
      <c r="L810" s="13" t="s">
        <v>65</v>
      </c>
      <c r="M810" s="3" t="s">
        <v>58</v>
      </c>
      <c r="N810" s="44">
        <f>'Kalkulace a Porovnání'!N810</f>
        <v>0</v>
      </c>
      <c r="O810" s="44">
        <f>'Kalkulace a Porovnání'!O810</f>
        <v>0</v>
      </c>
      <c r="P810" s="44">
        <f>'Kalkulace a Porovnání'!P810</f>
        <v>0</v>
      </c>
      <c r="Q810" s="30">
        <f>'Kalkulace a Porovnání'!Q810</f>
        <v>0</v>
      </c>
      <c r="T810" s="12" t="s">
        <v>61</v>
      </c>
      <c r="U810" s="13" t="s">
        <v>65</v>
      </c>
      <c r="V810" s="3" t="s">
        <v>58</v>
      </c>
      <c r="W810" s="44">
        <f>'Kalkulace a Porovnání'!W810</f>
        <v>0</v>
      </c>
      <c r="X810" s="44">
        <f>'Kalkulace a Porovnání'!X810</f>
        <v>0</v>
      </c>
      <c r="Y810" s="44">
        <f>'Kalkulace a Porovnání'!Y810</f>
        <v>0</v>
      </c>
      <c r="Z810" s="44">
        <f>'Kalkulace a Porovnání'!Z810</f>
        <v>0</v>
      </c>
      <c r="AA810" s="44">
        <f>'Kalkulace a Porovnání'!AA810</f>
        <v>0</v>
      </c>
      <c r="AB810" s="30">
        <f>'Kalkulace a Porovnání'!AB810</f>
        <v>0</v>
      </c>
      <c r="AC810" s="146"/>
      <c r="AD810" s="428"/>
      <c r="AG810" s="147"/>
      <c r="AH810" s="147"/>
      <c r="AI810" s="430"/>
      <c r="AJ810" s="430"/>
      <c r="AK810" s="428"/>
      <c r="AL810" s="146"/>
    </row>
    <row r="811" spans="2:38" x14ac:dyDescent="0.25">
      <c r="B811" s="12" t="s">
        <v>63</v>
      </c>
      <c r="C811" s="13" t="s">
        <v>67</v>
      </c>
      <c r="D811" s="3" t="s">
        <v>58</v>
      </c>
      <c r="E811" s="44">
        <f>'Kalkulace a Porovnání'!E811</f>
        <v>0</v>
      </c>
      <c r="F811" s="44">
        <f>'Kalkulace a Porovnání'!F811</f>
        <v>0</v>
      </c>
      <c r="G811" s="44">
        <f>'Kalkulace a Porovnání'!G811</f>
        <v>0</v>
      </c>
      <c r="H811" s="30">
        <f>'Kalkulace a Porovnání'!H811</f>
        <v>0</v>
      </c>
      <c r="K811" s="12" t="s">
        <v>63</v>
      </c>
      <c r="L811" s="13" t="s">
        <v>67</v>
      </c>
      <c r="M811" s="3" t="s">
        <v>58</v>
      </c>
      <c r="N811" s="44">
        <f>'Kalkulace a Porovnání'!N811</f>
        <v>0</v>
      </c>
      <c r="O811" s="44">
        <f>'Kalkulace a Porovnání'!O811</f>
        <v>0</v>
      </c>
      <c r="P811" s="44">
        <f>'Kalkulace a Porovnání'!P811</f>
        <v>0</v>
      </c>
      <c r="Q811" s="30">
        <f>'Kalkulace a Porovnání'!Q811</f>
        <v>0</v>
      </c>
      <c r="T811" s="12" t="s">
        <v>63</v>
      </c>
      <c r="U811" s="13" t="s">
        <v>67</v>
      </c>
      <c r="V811" s="3" t="s">
        <v>58</v>
      </c>
      <c r="W811" s="44">
        <f>'Kalkulace a Porovnání'!W811</f>
        <v>0</v>
      </c>
      <c r="X811" s="44">
        <f>'Kalkulace a Porovnání'!X811</f>
        <v>0</v>
      </c>
      <c r="Y811" s="44">
        <f>'Kalkulace a Porovnání'!Y811</f>
        <v>0</v>
      </c>
      <c r="Z811" s="44">
        <f>'Kalkulace a Porovnání'!Z811</f>
        <v>0</v>
      </c>
      <c r="AA811" s="44">
        <f>'Kalkulace a Porovnání'!AA811</f>
        <v>0</v>
      </c>
      <c r="AB811" s="30">
        <f>'Kalkulace a Porovnání'!AB811</f>
        <v>0</v>
      </c>
      <c r="AC811" s="146"/>
      <c r="AD811" s="428"/>
      <c r="AG811" s="147"/>
      <c r="AH811" s="147"/>
      <c r="AI811" s="430"/>
      <c r="AJ811" s="430"/>
      <c r="AK811" s="428"/>
      <c r="AL811" s="146"/>
    </row>
    <row r="812" spans="2:38" x14ac:dyDescent="0.25">
      <c r="B812" s="12" t="s">
        <v>64</v>
      </c>
      <c r="C812" s="13" t="s">
        <v>68</v>
      </c>
      <c r="D812" s="3" t="s">
        <v>58</v>
      </c>
      <c r="E812" s="44">
        <f>'Kalkulace a Porovnání'!E812</f>
        <v>0</v>
      </c>
      <c r="F812" s="44">
        <f>'Kalkulace a Porovnání'!F812</f>
        <v>0</v>
      </c>
      <c r="G812" s="44">
        <f>'Kalkulace a Porovnání'!G812</f>
        <v>0</v>
      </c>
      <c r="H812" s="30">
        <f>'Kalkulace a Porovnání'!H812</f>
        <v>0</v>
      </c>
      <c r="K812" s="12" t="s">
        <v>64</v>
      </c>
      <c r="L812" s="13" t="s">
        <v>68</v>
      </c>
      <c r="M812" s="3" t="s">
        <v>58</v>
      </c>
      <c r="N812" s="44">
        <f>'Kalkulace a Porovnání'!N812</f>
        <v>0</v>
      </c>
      <c r="O812" s="44">
        <f>'Kalkulace a Porovnání'!O812</f>
        <v>0</v>
      </c>
      <c r="P812" s="44">
        <f>'Kalkulace a Porovnání'!P812</f>
        <v>0</v>
      </c>
      <c r="Q812" s="30">
        <f>'Kalkulace a Porovnání'!Q812</f>
        <v>0</v>
      </c>
      <c r="T812" s="12" t="s">
        <v>64</v>
      </c>
      <c r="U812" s="13" t="s">
        <v>68</v>
      </c>
      <c r="V812" s="3" t="s">
        <v>58</v>
      </c>
      <c r="W812" s="44">
        <f>'Kalkulace a Porovnání'!W812</f>
        <v>0</v>
      </c>
      <c r="X812" s="44">
        <f>'Kalkulace a Porovnání'!X812</f>
        <v>0</v>
      </c>
      <c r="Y812" s="44">
        <f>'Kalkulace a Porovnání'!Y812</f>
        <v>0</v>
      </c>
      <c r="Z812" s="44">
        <f>'Kalkulace a Porovnání'!Z812</f>
        <v>0</v>
      </c>
      <c r="AA812" s="44">
        <f>'Kalkulace a Porovnání'!AA812</f>
        <v>0</v>
      </c>
      <c r="AB812" s="30">
        <f>'Kalkulace a Porovnání'!AB812</f>
        <v>0</v>
      </c>
      <c r="AC812" s="146"/>
      <c r="AD812" s="428"/>
      <c r="AG812" s="147"/>
      <c r="AH812" s="147"/>
      <c r="AI812" s="430"/>
      <c r="AJ812" s="430"/>
      <c r="AK812" s="428"/>
      <c r="AL812" s="146"/>
    </row>
    <row r="813" spans="2:38" x14ac:dyDescent="0.25">
      <c r="B813" s="12" t="s">
        <v>66</v>
      </c>
      <c r="C813" s="13" t="s">
        <v>69</v>
      </c>
      <c r="D813" s="3" t="s">
        <v>58</v>
      </c>
      <c r="E813" s="44">
        <f>'Kalkulace a Porovnání'!E813</f>
        <v>0</v>
      </c>
      <c r="F813" s="44">
        <f>'Kalkulace a Porovnání'!F813</f>
        <v>0</v>
      </c>
      <c r="G813" s="44">
        <f>'Kalkulace a Porovnání'!G813</f>
        <v>0</v>
      </c>
      <c r="H813" s="30">
        <f>'Kalkulace a Porovnání'!H813</f>
        <v>0</v>
      </c>
      <c r="K813" s="12" t="s">
        <v>66</v>
      </c>
      <c r="L813" s="13" t="s">
        <v>69</v>
      </c>
      <c r="M813" s="3" t="s">
        <v>58</v>
      </c>
      <c r="N813" s="44">
        <f>'Kalkulace a Porovnání'!N813</f>
        <v>0</v>
      </c>
      <c r="O813" s="44">
        <f>'Kalkulace a Porovnání'!O813</f>
        <v>0</v>
      </c>
      <c r="P813" s="44">
        <f>'Kalkulace a Porovnání'!P813</f>
        <v>0</v>
      </c>
      <c r="Q813" s="30">
        <f>'Kalkulace a Porovnání'!Q813</f>
        <v>0</v>
      </c>
      <c r="T813" s="12" t="s">
        <v>66</v>
      </c>
      <c r="U813" s="13" t="s">
        <v>69</v>
      </c>
      <c r="V813" s="3" t="s">
        <v>58</v>
      </c>
      <c r="W813" s="44">
        <f>'Kalkulace a Porovnání'!W813</f>
        <v>0</v>
      </c>
      <c r="X813" s="44">
        <f>'Kalkulace a Porovnání'!X813</f>
        <v>0</v>
      </c>
      <c r="Y813" s="44">
        <f>'Kalkulace a Porovnání'!Y813</f>
        <v>0</v>
      </c>
      <c r="Z813" s="44">
        <f>'Kalkulace a Porovnání'!Z813</f>
        <v>0</v>
      </c>
      <c r="AA813" s="44">
        <f>'Kalkulace a Porovnání'!AA813</f>
        <v>0</v>
      </c>
      <c r="AB813" s="30">
        <f>'Kalkulace a Porovnání'!AB813</f>
        <v>0</v>
      </c>
      <c r="AC813" s="146"/>
      <c r="AD813" s="428"/>
      <c r="AG813" s="314"/>
      <c r="AH813" s="314"/>
      <c r="AI813" s="252"/>
      <c r="AJ813" s="252"/>
      <c r="AK813" s="428"/>
      <c r="AL813" s="146"/>
    </row>
    <row r="814" spans="2:38" x14ac:dyDescent="0.25">
      <c r="B814" s="1"/>
      <c r="C814" s="1"/>
      <c r="D814" s="1"/>
      <c r="E814" s="1"/>
      <c r="F814" s="1"/>
      <c r="G814" s="1"/>
      <c r="H814" s="1"/>
      <c r="K814" s="1"/>
      <c r="L814" s="1"/>
      <c r="M814" s="1"/>
      <c r="N814" s="1"/>
      <c r="O814" s="1"/>
      <c r="P814" s="1"/>
      <c r="Q814" s="1"/>
      <c r="T814" s="1"/>
      <c r="U814" s="1"/>
      <c r="V814" s="1"/>
      <c r="W814" s="1"/>
      <c r="X814" s="1"/>
      <c r="Y814" s="1"/>
      <c r="Z814" s="1"/>
      <c r="AA814" s="1"/>
      <c r="AB814" s="1"/>
      <c r="AC814" s="146"/>
      <c r="AD814" s="428"/>
      <c r="AG814" s="428"/>
      <c r="AH814" s="428"/>
      <c r="AI814" s="428"/>
      <c r="AJ814" s="428"/>
      <c r="AK814" s="428"/>
      <c r="AL814" s="146"/>
    </row>
    <row r="815" spans="2:38" x14ac:dyDescent="0.25">
      <c r="B815" s="1052" t="s">
        <v>5</v>
      </c>
      <c r="C815" s="884" t="s">
        <v>70</v>
      </c>
      <c r="D815" s="868"/>
      <c r="E815" s="1082"/>
      <c r="F815" s="1083"/>
      <c r="G815" s="868"/>
      <c r="H815" s="869"/>
      <c r="K815" s="1052" t="s">
        <v>5</v>
      </c>
      <c r="L815" s="884" t="s">
        <v>70</v>
      </c>
      <c r="M815" s="868"/>
      <c r="N815" s="1082"/>
      <c r="O815" s="1083"/>
      <c r="P815" s="868"/>
      <c r="Q815" s="869"/>
      <c r="T815" s="1098" t="s">
        <v>5</v>
      </c>
      <c r="U815" s="884" t="s">
        <v>70</v>
      </c>
      <c r="V815" s="868"/>
      <c r="W815" s="1082"/>
      <c r="X815" s="1082"/>
      <c r="Y815" s="1083"/>
      <c r="Z815" s="868"/>
      <c r="AA815" s="868"/>
      <c r="AB815" s="869"/>
      <c r="AC815" s="146"/>
      <c r="AD815" s="428"/>
      <c r="AG815" s="428"/>
      <c r="AH815" s="428"/>
      <c r="AI815" s="428"/>
      <c r="AJ815" s="428"/>
      <c r="AK815" s="428"/>
      <c r="AL815" s="146"/>
    </row>
    <row r="816" spans="2:38" x14ac:dyDescent="0.25">
      <c r="B816" s="1053"/>
      <c r="C816" s="1052" t="s">
        <v>71</v>
      </c>
      <c r="D816" s="1065" t="s">
        <v>133</v>
      </c>
      <c r="E816" s="1085" t="s">
        <v>102</v>
      </c>
      <c r="F816" s="1086"/>
      <c r="G816" s="85" t="s">
        <v>3</v>
      </c>
      <c r="H816" s="23" t="s">
        <v>4</v>
      </c>
      <c r="K816" s="1053"/>
      <c r="L816" s="5" t="s">
        <v>71</v>
      </c>
      <c r="M816" s="1065" t="s">
        <v>133</v>
      </c>
      <c r="N816" s="1085" t="s">
        <v>102</v>
      </c>
      <c r="O816" s="1086"/>
      <c r="P816" s="85" t="s">
        <v>3</v>
      </c>
      <c r="Q816" s="23" t="s">
        <v>4</v>
      </c>
      <c r="T816" s="1099"/>
      <c r="U816" s="1052" t="s">
        <v>71</v>
      </c>
      <c r="V816" s="1065" t="s">
        <v>133</v>
      </c>
      <c r="W816" s="1085" t="s">
        <v>102</v>
      </c>
      <c r="X816" s="1086"/>
      <c r="Y816" s="1085" t="s">
        <v>3</v>
      </c>
      <c r="Z816" s="1101"/>
      <c r="AA816" s="1102" t="s">
        <v>4</v>
      </c>
      <c r="AB816" s="1102"/>
      <c r="AC816" s="146"/>
      <c r="AD816" s="428"/>
      <c r="AG816" s="428"/>
      <c r="AH816" s="428"/>
      <c r="AI816" s="428"/>
      <c r="AJ816" s="428"/>
      <c r="AK816" s="428"/>
      <c r="AL816" s="146"/>
    </row>
    <row r="817" spans="2:38" x14ac:dyDescent="0.25">
      <c r="B817" s="1054"/>
      <c r="C817" s="1054"/>
      <c r="D817" s="1084"/>
      <c r="E817" s="1087"/>
      <c r="F817" s="1088"/>
      <c r="G817" s="26" t="s">
        <v>7</v>
      </c>
      <c r="H817" s="24" t="s">
        <v>7</v>
      </c>
      <c r="K817" s="1054"/>
      <c r="L817" s="8"/>
      <c r="M817" s="1084"/>
      <c r="N817" s="1087"/>
      <c r="O817" s="1088"/>
      <c r="P817" s="26" t="s">
        <v>7</v>
      </c>
      <c r="Q817" s="24" t="s">
        <v>7</v>
      </c>
      <c r="T817" s="1100"/>
      <c r="U817" s="1054"/>
      <c r="V817" s="1084"/>
      <c r="W817" s="1087"/>
      <c r="X817" s="1088"/>
      <c r="Y817" s="37" t="s">
        <v>148</v>
      </c>
      <c r="Z817" s="37" t="s">
        <v>7</v>
      </c>
      <c r="AA817" s="37" t="s">
        <v>148</v>
      </c>
      <c r="AB817" s="37" t="s">
        <v>7</v>
      </c>
      <c r="AC817" s="146"/>
      <c r="AD817" s="428"/>
      <c r="AG817" s="428"/>
      <c r="AH817" s="428"/>
      <c r="AI817" s="428"/>
      <c r="AJ817" s="428"/>
      <c r="AK817" s="428"/>
      <c r="AL817" s="146"/>
    </row>
    <row r="818" spans="2:38" x14ac:dyDescent="0.25">
      <c r="B818" s="11">
        <v>1</v>
      </c>
      <c r="C818" s="11">
        <v>2</v>
      </c>
      <c r="D818" s="11" t="s">
        <v>95</v>
      </c>
      <c r="E818" s="873" t="s">
        <v>99</v>
      </c>
      <c r="F818" s="874"/>
      <c r="G818" s="11" t="s">
        <v>100</v>
      </c>
      <c r="H818" s="22" t="s">
        <v>101</v>
      </c>
      <c r="K818" s="11" t="s">
        <v>72</v>
      </c>
      <c r="L818" s="11">
        <v>2</v>
      </c>
      <c r="M818" s="11" t="s">
        <v>95</v>
      </c>
      <c r="N818" s="873" t="s">
        <v>99</v>
      </c>
      <c r="O818" s="874"/>
      <c r="P818" s="11" t="s">
        <v>100</v>
      </c>
      <c r="Q818" s="22" t="s">
        <v>101</v>
      </c>
      <c r="T818" s="11">
        <v>1</v>
      </c>
      <c r="U818" s="11">
        <v>2</v>
      </c>
      <c r="V818" s="11" t="s">
        <v>95</v>
      </c>
      <c r="W818" s="1096" t="s">
        <v>99</v>
      </c>
      <c r="X818" s="1097"/>
      <c r="Y818" s="11" t="s">
        <v>153</v>
      </c>
      <c r="Z818" s="11" t="s">
        <v>100</v>
      </c>
      <c r="AA818" s="11" t="s">
        <v>152</v>
      </c>
      <c r="AB818" s="22" t="s">
        <v>101</v>
      </c>
      <c r="AC818" s="146"/>
      <c r="AD818" s="428"/>
      <c r="AG818" s="428"/>
      <c r="AH818" s="428"/>
      <c r="AI818" s="428"/>
      <c r="AJ818" s="428"/>
      <c r="AK818" s="428"/>
      <c r="AL818" s="146"/>
    </row>
    <row r="819" spans="2:38" x14ac:dyDescent="0.25">
      <c r="B819" s="12" t="s">
        <v>72</v>
      </c>
      <c r="C819" s="13" t="s">
        <v>104</v>
      </c>
      <c r="D819" s="13" t="s">
        <v>73</v>
      </c>
      <c r="E819" s="875" t="s">
        <v>403</v>
      </c>
      <c r="F819" s="859"/>
      <c r="G819" s="138">
        <f>'Kalkulace a Porovnání'!G819</f>
        <v>0</v>
      </c>
      <c r="H819" s="138">
        <f>'Kalkulace a Porovnání'!H819</f>
        <v>0</v>
      </c>
      <c r="K819" s="12" t="s">
        <v>74</v>
      </c>
      <c r="L819" s="13" t="s">
        <v>104</v>
      </c>
      <c r="M819" s="13" t="s">
        <v>73</v>
      </c>
      <c r="N819" s="875" t="s">
        <v>403</v>
      </c>
      <c r="O819" s="859"/>
      <c r="P819" s="138">
        <f>'Kalkulace a Porovnání'!P819</f>
        <v>0</v>
      </c>
      <c r="Q819" s="138">
        <f>'Kalkulace a Porovnání'!Q819</f>
        <v>0</v>
      </c>
      <c r="T819" s="12" t="s">
        <v>72</v>
      </c>
      <c r="U819" s="13" t="s">
        <v>104</v>
      </c>
      <c r="V819" s="13" t="s">
        <v>73</v>
      </c>
      <c r="W819" s="875" t="s">
        <v>403</v>
      </c>
      <c r="X819" s="859"/>
      <c r="Y819" s="138">
        <f>'Kalkulace a Porovnání'!Y819</f>
        <v>0</v>
      </c>
      <c r="Z819" s="138">
        <f>'Kalkulace a Porovnání'!Z819</f>
        <v>0</v>
      </c>
      <c r="AA819" s="138">
        <f>'Kalkulace a Porovnání'!AA819</f>
        <v>0</v>
      </c>
      <c r="AB819" s="138">
        <f>'Kalkulace a Porovnání'!AB819</f>
        <v>0</v>
      </c>
      <c r="AC819" s="146"/>
      <c r="AD819" s="428"/>
      <c r="AG819" s="428"/>
      <c r="AH819" s="428"/>
      <c r="AI819" s="428"/>
      <c r="AJ819" s="428"/>
      <c r="AK819" s="428"/>
      <c r="AL819" s="146"/>
    </row>
    <row r="820" spans="2:38" x14ac:dyDescent="0.25">
      <c r="B820" s="12" t="s">
        <v>74</v>
      </c>
      <c r="C820" s="13" t="s">
        <v>358</v>
      </c>
      <c r="D820" s="13" t="s">
        <v>10</v>
      </c>
      <c r="E820" s="858" t="s">
        <v>404</v>
      </c>
      <c r="F820" s="870"/>
      <c r="G820" s="138">
        <f>G821+G822</f>
        <v>0</v>
      </c>
      <c r="H820" s="138">
        <f>H821+H822</f>
        <v>0</v>
      </c>
      <c r="K820" s="12" t="s">
        <v>352</v>
      </c>
      <c r="L820" s="13" t="s">
        <v>358</v>
      </c>
      <c r="M820" s="13" t="s">
        <v>10</v>
      </c>
      <c r="N820" s="858" t="s">
        <v>404</v>
      </c>
      <c r="O820" s="870"/>
      <c r="P820" s="138">
        <f>P821+P822</f>
        <v>0</v>
      </c>
      <c r="Q820" s="138">
        <f>Q821+Q822</f>
        <v>0</v>
      </c>
      <c r="T820" s="12" t="s">
        <v>74</v>
      </c>
      <c r="U820" s="13" t="s">
        <v>358</v>
      </c>
      <c r="V820" s="13" t="s">
        <v>10</v>
      </c>
      <c r="W820" s="858" t="s">
        <v>404</v>
      </c>
      <c r="X820" s="870"/>
      <c r="Y820" s="138">
        <f t="shared" ref="Y820:AB820" si="9">Y821+Y822</f>
        <v>0</v>
      </c>
      <c r="Z820" s="138">
        <f t="shared" si="9"/>
        <v>0</v>
      </c>
      <c r="AA820" s="138">
        <f t="shared" si="9"/>
        <v>0</v>
      </c>
      <c r="AB820" s="138">
        <f t="shared" si="9"/>
        <v>0</v>
      </c>
      <c r="AC820" s="146"/>
      <c r="AD820" s="428"/>
      <c r="AG820" s="428"/>
      <c r="AH820" s="428"/>
      <c r="AI820" s="428"/>
      <c r="AJ820" s="428"/>
      <c r="AK820" s="428"/>
      <c r="AL820" s="146"/>
    </row>
    <row r="821" spans="2:38" x14ac:dyDescent="0.25">
      <c r="B821" s="12" t="s">
        <v>352</v>
      </c>
      <c r="C821" s="13" t="s">
        <v>359</v>
      </c>
      <c r="D821" s="13" t="s">
        <v>10</v>
      </c>
      <c r="E821" s="871"/>
      <c r="F821" s="872"/>
      <c r="G821" s="138">
        <f>'Kalkulace a Porovnání'!G821</f>
        <v>0</v>
      </c>
      <c r="H821" s="138">
        <f>'Kalkulace a Porovnání'!H821</f>
        <v>0</v>
      </c>
      <c r="K821" s="12" t="s">
        <v>361</v>
      </c>
      <c r="L821" s="13" t="s">
        <v>359</v>
      </c>
      <c r="M821" s="13" t="s">
        <v>10</v>
      </c>
      <c r="N821" s="871"/>
      <c r="O821" s="872"/>
      <c r="P821" s="138">
        <f>'Kalkulace a Porovnání'!P821</f>
        <v>0</v>
      </c>
      <c r="Q821" s="138">
        <f>'Kalkulace a Porovnání'!Q821</f>
        <v>0</v>
      </c>
      <c r="T821" s="12" t="s">
        <v>352</v>
      </c>
      <c r="U821" s="13" t="s">
        <v>359</v>
      </c>
      <c r="V821" s="13" t="s">
        <v>10</v>
      </c>
      <c r="W821" s="871"/>
      <c r="X821" s="872"/>
      <c r="Y821" s="138">
        <f>'Kalkulace a Porovnání'!Y821</f>
        <v>0</v>
      </c>
      <c r="Z821" s="138">
        <f>'Kalkulace a Porovnání'!Z821</f>
        <v>0</v>
      </c>
      <c r="AA821" s="138">
        <f>'Kalkulace a Porovnání'!AA821</f>
        <v>0</v>
      </c>
      <c r="AB821" s="138">
        <f>'Kalkulace a Porovnání'!AB821</f>
        <v>0</v>
      </c>
      <c r="AC821" s="146"/>
      <c r="AD821" s="428"/>
      <c r="AG821" s="428"/>
      <c r="AH821" s="428"/>
      <c r="AI821" s="428"/>
      <c r="AJ821" s="428"/>
      <c r="AK821" s="428"/>
      <c r="AL821" s="146"/>
    </row>
    <row r="822" spans="2:38" x14ac:dyDescent="0.25">
      <c r="B822" s="12" t="s">
        <v>361</v>
      </c>
      <c r="C822" s="13" t="s">
        <v>360</v>
      </c>
      <c r="D822" s="13" t="s">
        <v>10</v>
      </c>
      <c r="E822" s="884"/>
      <c r="F822" s="869"/>
      <c r="G822" s="138">
        <f>'Kalkulace a Porovnání'!G822</f>
        <v>0</v>
      </c>
      <c r="H822" s="138">
        <f>'Kalkulace a Porovnání'!H822</f>
        <v>0</v>
      </c>
      <c r="K822" s="12" t="s">
        <v>75</v>
      </c>
      <c r="L822" s="13" t="s">
        <v>360</v>
      </c>
      <c r="M822" s="13" t="s">
        <v>10</v>
      </c>
      <c r="N822" s="884"/>
      <c r="O822" s="869"/>
      <c r="P822" s="138">
        <f>'Kalkulace a Porovnání'!P822</f>
        <v>0</v>
      </c>
      <c r="Q822" s="138">
        <f>'Kalkulace a Porovnání'!Q822</f>
        <v>0</v>
      </c>
      <c r="T822" s="12" t="s">
        <v>361</v>
      </c>
      <c r="U822" s="13" t="s">
        <v>360</v>
      </c>
      <c r="V822" s="13" t="s">
        <v>10</v>
      </c>
      <c r="W822" s="884"/>
      <c r="X822" s="869"/>
      <c r="Y822" s="138">
        <f>'Kalkulace a Porovnání'!Y822</f>
        <v>0</v>
      </c>
      <c r="Z822" s="138">
        <f>'Kalkulace a Porovnání'!Z822</f>
        <v>0</v>
      </c>
      <c r="AA822" s="138">
        <f>'Kalkulace a Porovnání'!AA822</f>
        <v>0</v>
      </c>
      <c r="AB822" s="138">
        <f>'Kalkulace a Porovnání'!AB822</f>
        <v>0</v>
      </c>
      <c r="AC822" s="146"/>
      <c r="AD822" s="428"/>
      <c r="AG822" s="428"/>
      <c r="AH822" s="428"/>
      <c r="AI822" s="428"/>
      <c r="AJ822" s="428"/>
      <c r="AK822" s="428"/>
      <c r="AL822" s="146"/>
    </row>
    <row r="823" spans="2:38" x14ac:dyDescent="0.25">
      <c r="B823" s="12" t="s">
        <v>75</v>
      </c>
      <c r="C823" s="13" t="s">
        <v>396</v>
      </c>
      <c r="D823" s="13" t="s">
        <v>10</v>
      </c>
      <c r="E823" s="858" t="s">
        <v>405</v>
      </c>
      <c r="F823" s="859"/>
      <c r="G823" s="341">
        <f>'Kalkulace a Porovnání'!G823</f>
        <v>0</v>
      </c>
      <c r="H823" s="341">
        <f>'Kalkulace a Porovnání'!H823</f>
        <v>0</v>
      </c>
      <c r="K823" s="12" t="s">
        <v>76</v>
      </c>
      <c r="L823" s="13" t="s">
        <v>396</v>
      </c>
      <c r="M823" s="13" t="s">
        <v>10</v>
      </c>
      <c r="N823" s="858" t="s">
        <v>405</v>
      </c>
      <c r="O823" s="859"/>
      <c r="P823" s="341">
        <f>'Kalkulace a Porovnání'!P823</f>
        <v>0</v>
      </c>
      <c r="Q823" s="341">
        <f>'Kalkulace a Porovnání'!Q823</f>
        <v>0</v>
      </c>
      <c r="T823" s="12" t="s">
        <v>75</v>
      </c>
      <c r="U823" s="13" t="s">
        <v>396</v>
      </c>
      <c r="V823" s="13" t="s">
        <v>10</v>
      </c>
      <c r="W823" s="858" t="s">
        <v>405</v>
      </c>
      <c r="X823" s="859"/>
      <c r="Y823" s="341">
        <f>'Kalkulace a Porovnání'!Y823</f>
        <v>0</v>
      </c>
      <c r="Z823" s="341">
        <f>'Kalkulace a Porovnání'!Z823</f>
        <v>0</v>
      </c>
      <c r="AA823" s="341">
        <f>'Kalkulace a Porovnání'!AA823</f>
        <v>0</v>
      </c>
      <c r="AB823" s="341">
        <f>'Kalkulace a Porovnání'!AB823</f>
        <v>0</v>
      </c>
      <c r="AC823" s="146"/>
      <c r="AD823" s="428"/>
      <c r="AG823" s="428"/>
      <c r="AH823" s="428"/>
      <c r="AI823" s="428"/>
      <c r="AJ823" s="428"/>
      <c r="AK823" s="428"/>
      <c r="AL823" s="146"/>
    </row>
    <row r="824" spans="2:38" x14ac:dyDescent="0.25">
      <c r="B824" s="12" t="s">
        <v>76</v>
      </c>
      <c r="C824" s="13" t="s">
        <v>373</v>
      </c>
      <c r="D824" s="13" t="s">
        <v>10</v>
      </c>
      <c r="E824" s="858"/>
      <c r="F824" s="859"/>
      <c r="G824" s="341">
        <f>'Kalkulace a Porovnání'!G824</f>
        <v>0</v>
      </c>
      <c r="H824" s="341">
        <f>'Kalkulace a Porovnání'!H824</f>
        <v>0</v>
      </c>
      <c r="K824" s="12" t="s">
        <v>78</v>
      </c>
      <c r="L824" s="13" t="s">
        <v>373</v>
      </c>
      <c r="M824" s="13" t="s">
        <v>10</v>
      </c>
      <c r="N824" s="858"/>
      <c r="O824" s="859"/>
      <c r="P824" s="341">
        <f>'Kalkulace a Porovnání'!P824</f>
        <v>0</v>
      </c>
      <c r="Q824" s="341">
        <f>'Kalkulace a Porovnání'!Q824</f>
        <v>0</v>
      </c>
      <c r="T824" s="12" t="s">
        <v>76</v>
      </c>
      <c r="U824" s="13" t="s">
        <v>373</v>
      </c>
      <c r="V824" s="13" t="s">
        <v>10</v>
      </c>
      <c r="W824" s="858"/>
      <c r="X824" s="859"/>
      <c r="Y824" s="341">
        <f>'Kalkulace a Porovnání'!Y824</f>
        <v>2.3999896640999999E-2</v>
      </c>
      <c r="Z824" s="341">
        <f>'Kalkulace a Porovnání'!Z824</f>
        <v>0</v>
      </c>
      <c r="AA824" s="341">
        <f>'Kalkulace a Porovnání'!AA824</f>
        <v>0.100000278</v>
      </c>
      <c r="AB824" s="341">
        <f>'Kalkulace a Porovnání'!AB824</f>
        <v>0</v>
      </c>
      <c r="AC824" s="146"/>
      <c r="AD824" s="428"/>
      <c r="AG824" s="428"/>
      <c r="AH824" s="428"/>
      <c r="AI824" s="428"/>
      <c r="AJ824" s="428"/>
      <c r="AK824" s="428"/>
      <c r="AL824" s="146"/>
    </row>
    <row r="825" spans="2:38" x14ac:dyDescent="0.25">
      <c r="B825" s="12" t="s">
        <v>78</v>
      </c>
      <c r="C825" s="21" t="s">
        <v>402</v>
      </c>
      <c r="D825" s="13" t="s">
        <v>77</v>
      </c>
      <c r="E825" s="875" t="s">
        <v>406</v>
      </c>
      <c r="F825" s="859"/>
      <c r="G825" s="138">
        <f>'Kalkulace a Porovnání'!G825</f>
        <v>0</v>
      </c>
      <c r="H825" s="138">
        <f>'Kalkulace a Porovnání'!H825</f>
        <v>0</v>
      </c>
      <c r="K825" s="12" t="s">
        <v>79</v>
      </c>
      <c r="L825" s="21" t="s">
        <v>402</v>
      </c>
      <c r="M825" s="13" t="s">
        <v>77</v>
      </c>
      <c r="N825" s="875" t="s">
        <v>406</v>
      </c>
      <c r="O825" s="859"/>
      <c r="P825" s="138">
        <f>'Kalkulace a Porovnání'!P825</f>
        <v>0</v>
      </c>
      <c r="Q825" s="138">
        <f>'Kalkulace a Porovnání'!Q825</f>
        <v>0</v>
      </c>
      <c r="T825" s="12" t="s">
        <v>78</v>
      </c>
      <c r="U825" s="21" t="s">
        <v>402</v>
      </c>
      <c r="V825" s="13" t="s">
        <v>77</v>
      </c>
      <c r="W825" s="875" t="s">
        <v>406</v>
      </c>
      <c r="X825" s="859"/>
      <c r="Y825" s="138">
        <f>'Kalkulace a Porovnání'!Y825</f>
        <v>0</v>
      </c>
      <c r="Z825" s="138">
        <f>'Kalkulace a Porovnání'!Z825</f>
        <v>0</v>
      </c>
      <c r="AA825" s="138">
        <f>'Kalkulace a Porovnání'!AA825</f>
        <v>0</v>
      </c>
      <c r="AB825" s="138">
        <f>'Kalkulace a Porovnání'!AB825</f>
        <v>0</v>
      </c>
      <c r="AC825" s="146"/>
      <c r="AD825" s="428"/>
      <c r="AG825" s="428"/>
      <c r="AH825" s="428"/>
      <c r="AI825" s="428"/>
      <c r="AJ825" s="428"/>
      <c r="AK825" s="428"/>
      <c r="AL825" s="146"/>
    </row>
    <row r="826" spans="2:38" x14ac:dyDescent="0.25">
      <c r="B826" s="12" t="s">
        <v>79</v>
      </c>
      <c r="C826" s="21" t="s">
        <v>408</v>
      </c>
      <c r="D826" s="13" t="s">
        <v>10</v>
      </c>
      <c r="E826" s="858" t="s">
        <v>407</v>
      </c>
      <c r="F826" s="859"/>
      <c r="G826" s="341">
        <f>'Kalkulace a Porovnání'!G826</f>
        <v>0</v>
      </c>
      <c r="H826" s="341">
        <f>'Kalkulace a Porovnání'!H826</f>
        <v>0</v>
      </c>
      <c r="K826" s="12" t="s">
        <v>80</v>
      </c>
      <c r="L826" s="21" t="s">
        <v>408</v>
      </c>
      <c r="M826" s="13" t="s">
        <v>10</v>
      </c>
      <c r="N826" s="858" t="s">
        <v>407</v>
      </c>
      <c r="O826" s="859"/>
      <c r="P826" s="341">
        <f>'Kalkulace a Porovnání'!P826</f>
        <v>0</v>
      </c>
      <c r="Q826" s="341">
        <f>'Kalkulace a Porovnání'!Q826</f>
        <v>0</v>
      </c>
      <c r="T826" s="12" t="s">
        <v>79</v>
      </c>
      <c r="U826" s="21" t="s">
        <v>408</v>
      </c>
      <c r="V826" s="13" t="s">
        <v>10</v>
      </c>
      <c r="W826" s="858" t="s">
        <v>407</v>
      </c>
      <c r="X826" s="859"/>
      <c r="Y826" s="341">
        <f>'Kalkulace a Porovnání'!Y826</f>
        <v>0</v>
      </c>
      <c r="Z826" s="341">
        <f>'Kalkulace a Porovnání'!Z826</f>
        <v>0</v>
      </c>
      <c r="AA826" s="341">
        <f>'Kalkulace a Porovnání'!AA826</f>
        <v>0</v>
      </c>
      <c r="AB826" s="341">
        <f>'Kalkulace a Porovnání'!AB826</f>
        <v>0</v>
      </c>
      <c r="AC826" s="146"/>
      <c r="AD826" s="428"/>
      <c r="AG826" s="428"/>
      <c r="AH826" s="428"/>
      <c r="AI826" s="428"/>
      <c r="AJ826" s="428"/>
      <c r="AK826" s="428"/>
      <c r="AL826" s="146"/>
    </row>
    <row r="827" spans="2:38" x14ac:dyDescent="0.25">
      <c r="B827" s="12" t="s">
        <v>80</v>
      </c>
      <c r="C827" s="21" t="s">
        <v>354</v>
      </c>
      <c r="D827" s="13" t="s">
        <v>10</v>
      </c>
      <c r="E827" s="858" t="s">
        <v>409</v>
      </c>
      <c r="F827" s="870"/>
      <c r="G827" s="341">
        <f>'Kalkulace a Porovnání'!G827</f>
        <v>0</v>
      </c>
      <c r="H827" s="341">
        <f>'Kalkulace a Porovnání'!H827</f>
        <v>0</v>
      </c>
      <c r="K827" s="12" t="s">
        <v>82</v>
      </c>
      <c r="L827" s="21" t="s">
        <v>354</v>
      </c>
      <c r="M827" s="13" t="s">
        <v>10</v>
      </c>
      <c r="N827" s="858" t="s">
        <v>409</v>
      </c>
      <c r="O827" s="870"/>
      <c r="P827" s="341">
        <f>'Kalkulace a Porovnání'!P827</f>
        <v>0</v>
      </c>
      <c r="Q827" s="341">
        <f>'Kalkulace a Porovnání'!Q827</f>
        <v>0</v>
      </c>
      <c r="T827" s="12" t="s">
        <v>80</v>
      </c>
      <c r="U827" s="21" t="s">
        <v>354</v>
      </c>
      <c r="V827" s="13" t="s">
        <v>10</v>
      </c>
      <c r="W827" s="858" t="s">
        <v>409</v>
      </c>
      <c r="X827" s="870"/>
      <c r="Y827" s="341">
        <f>'Kalkulace a Porovnání'!Y827</f>
        <v>2.3999896640999999E-2</v>
      </c>
      <c r="Z827" s="341">
        <f>'Kalkulace a Porovnání'!Z827</f>
        <v>0</v>
      </c>
      <c r="AA827" s="341">
        <f>'Kalkulace a Porovnání'!AA827</f>
        <v>0.100000278</v>
      </c>
      <c r="AB827" s="341">
        <f>'Kalkulace a Porovnání'!AB827</f>
        <v>0</v>
      </c>
      <c r="AC827" s="146"/>
      <c r="AD827" s="428"/>
      <c r="AG827" s="428"/>
      <c r="AH827" s="428"/>
      <c r="AI827" s="428"/>
      <c r="AJ827" s="428"/>
      <c r="AK827" s="428"/>
      <c r="AL827" s="146"/>
    </row>
    <row r="828" spans="2:38" x14ac:dyDescent="0.25">
      <c r="B828" s="12" t="s">
        <v>82</v>
      </c>
      <c r="C828" s="13" t="s">
        <v>395</v>
      </c>
      <c r="D828" s="13" t="s">
        <v>10</v>
      </c>
      <c r="E828" s="858" t="s">
        <v>410</v>
      </c>
      <c r="F828" s="859"/>
      <c r="G828" s="341">
        <f>'Kalkulace a Porovnání'!G828</f>
        <v>0</v>
      </c>
      <c r="H828" s="341">
        <f>'Kalkulace a Porovnání'!H828</f>
        <v>0</v>
      </c>
      <c r="K828" s="12" t="s">
        <v>83</v>
      </c>
      <c r="L828" s="13" t="s">
        <v>395</v>
      </c>
      <c r="M828" s="13" t="s">
        <v>10</v>
      </c>
      <c r="N828" s="858" t="s">
        <v>410</v>
      </c>
      <c r="O828" s="859"/>
      <c r="P828" s="341">
        <f>'Kalkulace a Porovnání'!P828</f>
        <v>0</v>
      </c>
      <c r="Q828" s="341">
        <f>'Kalkulace a Porovnání'!Q828</f>
        <v>0</v>
      </c>
      <c r="T828" s="12" t="s">
        <v>82</v>
      </c>
      <c r="U828" s="13" t="s">
        <v>395</v>
      </c>
      <c r="V828" s="13" t="s">
        <v>10</v>
      </c>
      <c r="W828" s="858" t="s">
        <v>410</v>
      </c>
      <c r="X828" s="859"/>
      <c r="Y828" s="341">
        <f>'Kalkulace a Porovnání'!Y828</f>
        <v>2.3999896640999999E-2</v>
      </c>
      <c r="Z828" s="341">
        <f>'Kalkulace a Porovnání'!Z828</f>
        <v>0</v>
      </c>
      <c r="AA828" s="341">
        <f>'Kalkulace a Porovnání'!AA828</f>
        <v>0.100000278</v>
      </c>
      <c r="AB828" s="341">
        <f>'Kalkulace a Porovnání'!AB828</f>
        <v>0</v>
      </c>
      <c r="AC828" s="146"/>
      <c r="AD828" s="428"/>
      <c r="AG828" s="428"/>
      <c r="AH828" s="428"/>
      <c r="AI828" s="428"/>
      <c r="AJ828" s="428"/>
      <c r="AK828" s="428"/>
      <c r="AL828" s="146"/>
    </row>
    <row r="829" spans="2:38" x14ac:dyDescent="0.25">
      <c r="B829" s="12" t="s">
        <v>83</v>
      </c>
      <c r="C829" s="13" t="s">
        <v>81</v>
      </c>
      <c r="D829" s="13" t="s">
        <v>58</v>
      </c>
      <c r="E829" s="858" t="s">
        <v>411</v>
      </c>
      <c r="F829" s="859"/>
      <c r="G829" s="341">
        <f>'Kalkulace a Porovnání'!G829</f>
        <v>0</v>
      </c>
      <c r="H829" s="341">
        <f>'Kalkulace a Porovnání'!H829</f>
        <v>0</v>
      </c>
      <c r="K829" s="12" t="s">
        <v>155</v>
      </c>
      <c r="L829" s="13" t="s">
        <v>81</v>
      </c>
      <c r="M829" s="13" t="s">
        <v>58</v>
      </c>
      <c r="N829" s="858" t="s">
        <v>411</v>
      </c>
      <c r="O829" s="859"/>
      <c r="P829" s="341">
        <f>'Kalkulace a Porovnání'!P829</f>
        <v>0</v>
      </c>
      <c r="Q829" s="341">
        <f>'Kalkulace a Porovnání'!Q829</f>
        <v>0</v>
      </c>
      <c r="T829" s="12" t="s">
        <v>83</v>
      </c>
      <c r="U829" s="13" t="s">
        <v>81</v>
      </c>
      <c r="V829" s="13" t="s">
        <v>58</v>
      </c>
      <c r="W829" s="858" t="s">
        <v>411</v>
      </c>
      <c r="X829" s="859"/>
      <c r="Y829" s="341">
        <f>'Kalkulace a Porovnání'!Y829</f>
        <v>0</v>
      </c>
      <c r="Z829" s="341">
        <f>'Kalkulace a Porovnání'!Z829</f>
        <v>0</v>
      </c>
      <c r="AA829" s="341">
        <f>'Kalkulace a Porovnání'!AA829</f>
        <v>0</v>
      </c>
      <c r="AB829" s="341">
        <f>'Kalkulace a Porovnání'!AB829</f>
        <v>0</v>
      </c>
      <c r="AC829" s="146"/>
      <c r="AD829" s="428"/>
      <c r="AG829" s="428"/>
      <c r="AH829" s="428"/>
      <c r="AI829" s="428"/>
      <c r="AJ829" s="428"/>
      <c r="AK829" s="428"/>
      <c r="AL829" s="146"/>
    </row>
    <row r="830" spans="2:38" x14ac:dyDescent="0.25">
      <c r="B830" s="12" t="s">
        <v>155</v>
      </c>
      <c r="C830" s="13" t="s">
        <v>393</v>
      </c>
      <c r="D830" s="13" t="s">
        <v>73</v>
      </c>
      <c r="E830" s="854" t="s">
        <v>412</v>
      </c>
      <c r="F830" s="855"/>
      <c r="G830" s="138">
        <f>'Kalkulace a Porovnání'!G830</f>
        <v>0</v>
      </c>
      <c r="H830" s="138">
        <f>'Kalkulace a Porovnání'!H830</f>
        <v>0</v>
      </c>
      <c r="K830" s="12" t="s">
        <v>355</v>
      </c>
      <c r="L830" s="13" t="s">
        <v>393</v>
      </c>
      <c r="M830" s="13" t="s">
        <v>73</v>
      </c>
      <c r="N830" s="854" t="s">
        <v>412</v>
      </c>
      <c r="O830" s="855"/>
      <c r="P830" s="138">
        <f>'Kalkulace a Porovnání'!P830</f>
        <v>0</v>
      </c>
      <c r="Q830" s="138">
        <f>'Kalkulace a Porovnání'!Q830</f>
        <v>0</v>
      </c>
      <c r="T830" s="12" t="s">
        <v>155</v>
      </c>
      <c r="U830" s="13" t="s">
        <v>393</v>
      </c>
      <c r="V830" s="13" t="s">
        <v>73</v>
      </c>
      <c r="W830" s="854" t="s">
        <v>412</v>
      </c>
      <c r="X830" s="855"/>
      <c r="Y830" s="138">
        <f>'Kalkulace a Porovnání'!Y830</f>
        <v>0</v>
      </c>
      <c r="Z830" s="138">
        <f>'Kalkulace a Porovnání'!Z830</f>
        <v>0</v>
      </c>
      <c r="AA830" s="138">
        <f>'Kalkulace a Porovnání'!AA830</f>
        <v>0</v>
      </c>
      <c r="AB830" s="138">
        <f>'Kalkulace a Porovnání'!AB830</f>
        <v>0</v>
      </c>
      <c r="AC830" s="146"/>
      <c r="AD830" s="428"/>
      <c r="AG830" s="428"/>
      <c r="AH830" s="428"/>
      <c r="AI830" s="428"/>
      <c r="AJ830" s="428"/>
      <c r="AK830" s="428"/>
      <c r="AL830" s="146"/>
    </row>
    <row r="831" spans="2:38" x14ac:dyDescent="0.25">
      <c r="B831" s="12" t="s">
        <v>355</v>
      </c>
      <c r="C831" s="13" t="str">
        <f>CONCATENATE("UPLATŇOVANÁ CENA pro vodné, stočné + ",Provozování!E799*100,"% DPH")</f>
        <v>UPLATŇOVANÁ CENA pro vodné, stočné + 0% DPH</v>
      </c>
      <c r="D831" s="13" t="s">
        <v>73</v>
      </c>
      <c r="E831" s="854" t="s">
        <v>413</v>
      </c>
      <c r="F831" s="855"/>
      <c r="G831" s="138">
        <f>'Kalkulace a Porovnání'!G831</f>
        <v>0</v>
      </c>
      <c r="H831" s="138">
        <f>'Kalkulace a Porovnání'!H831</f>
        <v>0</v>
      </c>
      <c r="K831" s="12" t="s">
        <v>356</v>
      </c>
      <c r="L831" s="13" t="str">
        <f>C831</f>
        <v>UPLATŇOVANÁ CENA pro vodné, stočné + 0% DPH</v>
      </c>
      <c r="M831" s="13" t="s">
        <v>73</v>
      </c>
      <c r="N831" s="854" t="s">
        <v>413</v>
      </c>
      <c r="O831" s="855"/>
      <c r="P831" s="138">
        <f>'Kalkulace a Porovnání'!P831</f>
        <v>0</v>
      </c>
      <c r="Q831" s="138">
        <f>'Kalkulace a Porovnání'!Q831</f>
        <v>0</v>
      </c>
      <c r="T831" s="12" t="s">
        <v>355</v>
      </c>
      <c r="U831" s="13" t="str">
        <f>C831</f>
        <v>UPLATŇOVANÁ CENA pro vodné, stočné + 0% DPH</v>
      </c>
      <c r="V831" s="13" t="s">
        <v>73</v>
      </c>
      <c r="W831" s="854" t="s">
        <v>413</v>
      </c>
      <c r="X831" s="855"/>
      <c r="Y831" s="138">
        <f>'Kalkulace a Porovnání'!Y831</f>
        <v>0</v>
      </c>
      <c r="Z831" s="138">
        <f>'Kalkulace a Porovnání'!Z831</f>
        <v>0</v>
      </c>
      <c r="AA831" s="138">
        <f>'Kalkulace a Porovnání'!AA831</f>
        <v>0</v>
      </c>
      <c r="AB831" s="138">
        <f>'Kalkulace a Porovnání'!AB831</f>
        <v>0</v>
      </c>
      <c r="AC831" s="146"/>
      <c r="AD831" s="428"/>
      <c r="AG831" s="428"/>
      <c r="AH831" s="428"/>
      <c r="AI831" s="428"/>
      <c r="AJ831" s="428"/>
      <c r="AK831" s="428"/>
      <c r="AL831" s="146"/>
    </row>
    <row r="832" spans="2:38" x14ac:dyDescent="0.25">
      <c r="B832" s="210" t="s">
        <v>356</v>
      </c>
      <c r="C832" s="244" t="s">
        <v>357</v>
      </c>
      <c r="D832" s="244"/>
      <c r="E832" s="884" t="s">
        <v>414</v>
      </c>
      <c r="F832" s="869"/>
      <c r="G832" s="138">
        <f>'Kalkulace a Porovnání'!G832</f>
        <v>0</v>
      </c>
      <c r="H832" s="138">
        <f>'Kalkulace a Porovnání'!H832</f>
        <v>0</v>
      </c>
      <c r="K832" s="210" t="s">
        <v>356</v>
      </c>
      <c r="L832" s="244" t="s">
        <v>357</v>
      </c>
      <c r="M832" s="244"/>
      <c r="N832" s="884" t="s">
        <v>414</v>
      </c>
      <c r="O832" s="869"/>
      <c r="P832" s="138">
        <f>'Kalkulace a Porovnání'!P832</f>
        <v>0</v>
      </c>
      <c r="Q832" s="138">
        <f>'Kalkulace a Porovnání'!Q832</f>
        <v>0</v>
      </c>
      <c r="T832" s="12" t="s">
        <v>356</v>
      </c>
      <c r="U832" s="13" t="s">
        <v>357</v>
      </c>
      <c r="V832" s="13"/>
      <c r="W832" s="884" t="s">
        <v>414</v>
      </c>
      <c r="X832" s="869"/>
      <c r="Y832" s="530">
        <f>'Kalkulace a Porovnání'!Y832</f>
        <v>0</v>
      </c>
      <c r="Z832" s="530">
        <f>'Kalkulace a Porovnání'!Z832</f>
        <v>0</v>
      </c>
      <c r="AA832" s="530">
        <f>'Kalkulace a Porovnání'!AA832</f>
        <v>0</v>
      </c>
      <c r="AB832" s="530">
        <f>'Kalkulace a Porovnání'!AB832</f>
        <v>0</v>
      </c>
      <c r="AC832" s="146"/>
      <c r="AD832" s="428"/>
      <c r="AG832" s="428"/>
      <c r="AH832" s="428"/>
      <c r="AI832" s="428"/>
      <c r="AJ832" s="428"/>
      <c r="AK832" s="428"/>
      <c r="AL832" s="146"/>
    </row>
    <row r="833" spans="1:38" x14ac:dyDescent="0.25">
      <c r="B833" s="29"/>
      <c r="C833" s="29"/>
      <c r="D833" s="29"/>
      <c r="E833" s="29"/>
      <c r="F833" s="29"/>
      <c r="G833" s="29"/>
      <c r="H833" s="29"/>
      <c r="I833" s="29"/>
      <c r="J833" s="29"/>
      <c r="K833" s="29"/>
      <c r="L833" s="29"/>
      <c r="M833" s="29"/>
      <c r="N833" s="29"/>
      <c r="O833" s="29"/>
      <c r="P833" s="29"/>
      <c r="Q833" s="29"/>
      <c r="R833" s="29"/>
      <c r="T833" s="1121" t="s">
        <v>364</v>
      </c>
      <c r="U833" s="1121" t="s">
        <v>154</v>
      </c>
      <c r="V833" s="1122" t="s">
        <v>10</v>
      </c>
      <c r="W833" s="854" t="s">
        <v>156</v>
      </c>
      <c r="X833" s="858"/>
      <c r="Y833" s="89" t="s">
        <v>158</v>
      </c>
      <c r="Z833" s="92" t="s">
        <v>159</v>
      </c>
      <c r="AA833" s="89" t="s">
        <v>158</v>
      </c>
      <c r="AB833" s="92" t="s">
        <v>159</v>
      </c>
      <c r="AC833" s="146"/>
      <c r="AD833" s="428"/>
      <c r="AG833" s="428"/>
      <c r="AH833" s="428"/>
      <c r="AI833" s="428"/>
      <c r="AJ833" s="428"/>
      <c r="AK833" s="428"/>
      <c r="AL833" s="146"/>
    </row>
    <row r="834" spans="1:38" x14ac:dyDescent="0.25">
      <c r="B834" s="383"/>
      <c r="C834" s="382"/>
      <c r="D834" s="382"/>
      <c r="E834" s="382"/>
      <c r="F834" s="382"/>
      <c r="G834" s="29"/>
      <c r="H834" s="29"/>
      <c r="I834" s="29"/>
      <c r="J834" s="29"/>
      <c r="K834" s="29"/>
      <c r="L834" s="29"/>
      <c r="M834" s="29"/>
      <c r="N834" s="29"/>
      <c r="O834" s="29"/>
      <c r="P834" s="29"/>
      <c r="Q834" s="29"/>
      <c r="R834" s="29"/>
      <c r="T834" s="1121"/>
      <c r="U834" s="1121"/>
      <c r="V834" s="1122"/>
      <c r="W834" s="1123">
        <f>'Kalkulace a Porovnání'!W834</f>
        <v>0</v>
      </c>
      <c r="X834" s="1124"/>
      <c r="Y834" s="90">
        <f>'Kalkulace a Porovnání'!Y834</f>
        <v>2034</v>
      </c>
      <c r="Z834" s="90">
        <f>'Kalkulace a Porovnání'!Z834</f>
        <v>2034</v>
      </c>
      <c r="AA834" s="90">
        <f>'Kalkulace a Porovnání'!AA834</f>
        <v>2034</v>
      </c>
      <c r="AB834" s="90">
        <f>'Kalkulace a Porovnání'!AB834</f>
        <v>2034</v>
      </c>
      <c r="AC834" s="146"/>
      <c r="AD834" s="428"/>
      <c r="AG834" s="428"/>
      <c r="AH834" s="428"/>
      <c r="AI834" s="428"/>
      <c r="AJ834" s="428"/>
      <c r="AK834" s="428"/>
      <c r="AL834" s="146"/>
    </row>
    <row r="835" spans="1:38" x14ac:dyDescent="0.25">
      <c r="B835" s="383"/>
      <c r="C835" s="382"/>
      <c r="D835" s="382"/>
      <c r="E835" s="382"/>
      <c r="F835" s="382"/>
      <c r="G835" s="29"/>
      <c r="H835" s="29"/>
      <c r="I835" s="29"/>
      <c r="J835" s="29"/>
      <c r="K835" s="29"/>
      <c r="L835" s="29"/>
      <c r="M835" s="29"/>
      <c r="N835" s="29"/>
      <c r="O835" s="29"/>
      <c r="P835" s="29"/>
      <c r="Q835" s="29"/>
      <c r="R835" s="29"/>
      <c r="T835" s="1121"/>
      <c r="U835" s="1121"/>
      <c r="V835" s="1122"/>
      <c r="W835" s="854" t="s">
        <v>157</v>
      </c>
      <c r="X835" s="858"/>
      <c r="Y835" s="91" t="s">
        <v>160</v>
      </c>
      <c r="Z835" s="91" t="s">
        <v>160</v>
      </c>
      <c r="AA835" s="91" t="s">
        <v>161</v>
      </c>
      <c r="AB835" s="91" t="s">
        <v>161</v>
      </c>
      <c r="AC835" s="146"/>
      <c r="AD835" s="428"/>
      <c r="AG835" s="428"/>
      <c r="AH835" s="428"/>
      <c r="AI835" s="428"/>
      <c r="AJ835" s="428"/>
      <c r="AK835" s="428"/>
      <c r="AL835" s="146"/>
    </row>
    <row r="836" spans="1:38" x14ac:dyDescent="0.25">
      <c r="B836" s="382"/>
      <c r="C836" s="382"/>
      <c r="D836" s="382"/>
      <c r="E836" s="382"/>
      <c r="F836" s="382"/>
      <c r="G836" s="29"/>
      <c r="H836" s="29"/>
      <c r="I836" s="29"/>
      <c r="J836" s="29"/>
      <c r="K836" s="29"/>
      <c r="L836" s="29"/>
      <c r="M836" s="29"/>
      <c r="N836" s="29"/>
      <c r="O836" s="29"/>
      <c r="P836" s="29"/>
      <c r="Q836" s="29"/>
      <c r="R836" s="29"/>
      <c r="T836" s="1121"/>
      <c r="U836" s="1121"/>
      <c r="V836" s="1122"/>
      <c r="W836" s="1125">
        <f>'Kalkulace a Porovnání'!W836</f>
        <v>0</v>
      </c>
      <c r="X836" s="1125"/>
      <c r="Y836" s="341">
        <f>'Kalkulace a Porovnání'!Y836</f>
        <v>0</v>
      </c>
      <c r="Z836" s="341">
        <f>'Kalkulace a Porovnání'!Z836</f>
        <v>0</v>
      </c>
      <c r="AA836" s="341">
        <f>'Kalkulace a Porovnání'!AA836</f>
        <v>0</v>
      </c>
      <c r="AB836" s="341">
        <f>'Kalkulace a Porovnání'!AB836</f>
        <v>0</v>
      </c>
      <c r="AC836" s="146"/>
      <c r="AD836" s="428"/>
      <c r="AG836" s="428"/>
      <c r="AH836" s="428"/>
      <c r="AI836" s="428"/>
      <c r="AJ836" s="428"/>
      <c r="AK836" s="428"/>
      <c r="AL836" s="146"/>
    </row>
    <row r="837" spans="1:38" hidden="1" x14ac:dyDescent="0.25">
      <c r="A837" s="252"/>
      <c r="B837" s="252"/>
      <c r="C837" s="252"/>
      <c r="D837" s="252"/>
      <c r="E837" s="252"/>
      <c r="F837" s="252"/>
      <c r="G837" s="252"/>
      <c r="H837" s="252"/>
      <c r="I837" s="252"/>
      <c r="J837" s="252"/>
      <c r="K837" s="252"/>
      <c r="L837" s="252"/>
      <c r="M837" s="252"/>
      <c r="N837" s="252"/>
      <c r="O837" s="252"/>
      <c r="P837" s="252"/>
      <c r="Q837" s="252"/>
      <c r="R837" s="252"/>
      <c r="S837" s="252"/>
      <c r="T837" s="252"/>
      <c r="U837" s="252"/>
      <c r="V837" s="252"/>
      <c r="W837" s="252"/>
      <c r="X837" s="252"/>
      <c r="Y837" s="252"/>
      <c r="Z837" s="252"/>
      <c r="AA837" s="252"/>
      <c r="AB837" s="252"/>
      <c r="AC837" s="252"/>
      <c r="AD837" s="252"/>
      <c r="AG837" s="428"/>
      <c r="AH837" s="428"/>
      <c r="AI837" s="428"/>
      <c r="AJ837" s="428"/>
      <c r="AK837" s="428"/>
      <c r="AL837" s="146"/>
    </row>
    <row r="838" spans="1:38" hidden="1" x14ac:dyDescent="0.25">
      <c r="A838" s="252"/>
      <c r="B838" s="252"/>
      <c r="C838" s="252"/>
      <c r="D838" s="252"/>
      <c r="E838" s="252"/>
      <c r="F838" s="252"/>
      <c r="G838" s="252"/>
      <c r="H838" s="252"/>
      <c r="I838" s="252"/>
      <c r="J838" s="252"/>
      <c r="K838" s="252"/>
      <c r="L838" s="252"/>
      <c r="M838" s="252"/>
      <c r="N838" s="252"/>
      <c r="O838" s="252"/>
      <c r="P838" s="252"/>
      <c r="Q838" s="252"/>
      <c r="R838" s="252"/>
      <c r="S838" s="252"/>
      <c r="T838" s="252"/>
      <c r="U838" s="252"/>
      <c r="V838" s="252"/>
      <c r="W838" s="252"/>
      <c r="X838" s="252"/>
      <c r="Y838" s="252"/>
      <c r="Z838" s="252"/>
      <c r="AA838" s="252"/>
      <c r="AB838" s="252"/>
      <c r="AC838" s="252"/>
      <c r="AD838" s="252"/>
      <c r="AG838" s="428"/>
      <c r="AH838" s="428"/>
      <c r="AI838" s="428"/>
      <c r="AJ838" s="428"/>
      <c r="AK838" s="428"/>
      <c r="AL838" s="146"/>
    </row>
    <row r="839" spans="1:38" hidden="1" x14ac:dyDescent="0.25">
      <c r="A839" s="252"/>
      <c r="B839" s="252"/>
      <c r="C839" s="252"/>
      <c r="D839" s="252"/>
      <c r="E839" s="252"/>
      <c r="F839" s="252"/>
      <c r="G839" s="252"/>
      <c r="H839" s="252"/>
      <c r="I839" s="252"/>
      <c r="J839" s="252"/>
      <c r="K839" s="252"/>
      <c r="L839" s="252"/>
      <c r="M839" s="252"/>
      <c r="N839" s="252"/>
      <c r="O839" s="252"/>
      <c r="P839" s="252"/>
      <c r="Q839" s="252"/>
      <c r="R839" s="252"/>
      <c r="S839" s="252"/>
      <c r="T839" s="252"/>
      <c r="U839" s="252"/>
      <c r="V839" s="252"/>
      <c r="W839" s="252"/>
      <c r="X839" s="252"/>
      <c r="Y839" s="252"/>
      <c r="Z839" s="252"/>
      <c r="AA839" s="252"/>
      <c r="AB839" s="252"/>
      <c r="AC839" s="252"/>
      <c r="AD839" s="252"/>
      <c r="AG839" s="428"/>
      <c r="AH839" s="428"/>
      <c r="AI839" s="428"/>
      <c r="AJ839" s="428"/>
      <c r="AK839" s="428"/>
      <c r="AL839" s="146"/>
    </row>
    <row r="840" spans="1:38" hidden="1" x14ac:dyDescent="0.25">
      <c r="A840" s="252"/>
      <c r="B840" s="252"/>
      <c r="C840" s="252"/>
      <c r="D840" s="252"/>
      <c r="E840" s="252"/>
      <c r="F840" s="252"/>
      <c r="G840" s="252"/>
      <c r="H840" s="252"/>
      <c r="I840" s="252"/>
      <c r="J840" s="252"/>
      <c r="K840" s="252"/>
      <c r="L840" s="252"/>
      <c r="M840" s="252"/>
      <c r="N840" s="252"/>
      <c r="O840" s="252"/>
      <c r="P840" s="252"/>
      <c r="Q840" s="252"/>
      <c r="R840" s="252"/>
      <c r="S840" s="252"/>
      <c r="T840" s="252"/>
      <c r="U840" s="252"/>
      <c r="V840" s="252"/>
      <c r="W840" s="252"/>
      <c r="X840" s="252"/>
      <c r="Y840" s="252"/>
      <c r="Z840" s="252"/>
      <c r="AA840" s="252"/>
      <c r="AB840" s="252"/>
      <c r="AC840" s="252"/>
      <c r="AD840" s="252"/>
      <c r="AG840" s="428"/>
      <c r="AH840" s="428"/>
      <c r="AI840" s="428"/>
      <c r="AJ840" s="428"/>
      <c r="AK840" s="428"/>
      <c r="AL840" s="146"/>
    </row>
    <row r="841" spans="1:38" hidden="1" x14ac:dyDescent="0.25">
      <c r="A841" s="252"/>
      <c r="B841" s="252"/>
      <c r="C841" s="252"/>
      <c r="D841" s="252"/>
      <c r="E841" s="252"/>
      <c r="F841" s="252"/>
      <c r="G841" s="252"/>
      <c r="H841" s="252"/>
      <c r="I841" s="252"/>
      <c r="J841" s="252"/>
      <c r="K841" s="252"/>
      <c r="L841" s="252"/>
      <c r="M841" s="252"/>
      <c r="N841" s="252"/>
      <c r="O841" s="252"/>
      <c r="P841" s="252"/>
      <c r="Q841" s="252"/>
      <c r="R841" s="252"/>
      <c r="S841" s="252"/>
      <c r="T841" s="252"/>
      <c r="U841" s="252"/>
      <c r="V841" s="252"/>
      <c r="W841" s="252"/>
      <c r="X841" s="252"/>
      <c r="Y841" s="252"/>
      <c r="Z841" s="252"/>
      <c r="AA841" s="252"/>
      <c r="AB841" s="252"/>
      <c r="AC841" s="252"/>
      <c r="AD841" s="252"/>
      <c r="AG841" s="428"/>
      <c r="AH841" s="428"/>
      <c r="AI841" s="428"/>
      <c r="AJ841" s="428"/>
      <c r="AK841" s="428"/>
      <c r="AL841" s="146"/>
    </row>
    <row r="842" spans="1:38" hidden="1" x14ac:dyDescent="0.25">
      <c r="A842" s="252"/>
      <c r="B842" s="252"/>
      <c r="C842" s="252"/>
      <c r="D842" s="252"/>
      <c r="E842" s="252"/>
      <c r="F842" s="252"/>
      <c r="G842" s="252"/>
      <c r="H842" s="252"/>
      <c r="I842" s="252"/>
      <c r="J842" s="252"/>
      <c r="K842" s="252"/>
      <c r="L842" s="252"/>
      <c r="M842" s="252"/>
      <c r="N842" s="252"/>
      <c r="O842" s="252"/>
      <c r="P842" s="252"/>
      <c r="Q842" s="252"/>
      <c r="R842" s="252"/>
      <c r="S842" s="252"/>
      <c r="T842" s="252"/>
      <c r="U842" s="252"/>
      <c r="V842" s="252"/>
      <c r="W842" s="252"/>
      <c r="X842" s="252"/>
      <c r="Y842" s="252"/>
      <c r="Z842" s="252"/>
      <c r="AA842" s="252"/>
      <c r="AB842" s="252"/>
      <c r="AC842" s="252"/>
      <c r="AD842" s="252"/>
      <c r="AG842" s="428"/>
      <c r="AH842" s="428"/>
      <c r="AI842" s="428"/>
      <c r="AJ842" s="428"/>
      <c r="AK842" s="428"/>
      <c r="AL842" s="146"/>
    </row>
    <row r="843" spans="1:38" hidden="1" x14ac:dyDescent="0.25">
      <c r="A843" s="252"/>
      <c r="B843" s="252"/>
      <c r="C843" s="252"/>
      <c r="D843" s="252"/>
      <c r="E843" s="252"/>
      <c r="F843" s="252"/>
      <c r="G843" s="252"/>
      <c r="H843" s="252"/>
      <c r="I843" s="252"/>
      <c r="J843" s="252"/>
      <c r="K843" s="252"/>
      <c r="L843" s="252"/>
      <c r="M843" s="252"/>
      <c r="N843" s="252"/>
      <c r="O843" s="252"/>
      <c r="P843" s="252"/>
      <c r="Q843" s="252"/>
      <c r="R843" s="252"/>
      <c r="S843" s="252"/>
      <c r="T843" s="252"/>
      <c r="U843" s="252"/>
      <c r="V843" s="252"/>
      <c r="W843" s="252"/>
      <c r="X843" s="252"/>
      <c r="Y843" s="252"/>
      <c r="Z843" s="252"/>
      <c r="AA843" s="252"/>
      <c r="AB843" s="252"/>
      <c r="AC843" s="252"/>
      <c r="AD843" s="252"/>
      <c r="AG843" s="428"/>
      <c r="AH843" s="428"/>
      <c r="AI843" s="428"/>
      <c r="AJ843" s="428"/>
      <c r="AK843" s="428"/>
      <c r="AL843" s="146"/>
    </row>
    <row r="844" spans="1:38" hidden="1" x14ac:dyDescent="0.25">
      <c r="A844" s="252"/>
      <c r="B844" s="252"/>
      <c r="C844" s="252"/>
      <c r="D844" s="252"/>
      <c r="E844" s="252"/>
      <c r="F844" s="252"/>
      <c r="G844" s="252"/>
      <c r="H844" s="252"/>
      <c r="I844" s="252"/>
      <c r="J844" s="252"/>
      <c r="K844" s="252"/>
      <c r="L844" s="252"/>
      <c r="M844" s="252"/>
      <c r="N844" s="252"/>
      <c r="O844" s="252"/>
      <c r="P844" s="252"/>
      <c r="Q844" s="252"/>
      <c r="R844" s="252"/>
      <c r="S844" s="252"/>
      <c r="T844" s="252"/>
      <c r="U844" s="252"/>
      <c r="V844" s="252"/>
      <c r="W844" s="252"/>
      <c r="X844" s="252"/>
      <c r="Y844" s="252"/>
      <c r="Z844" s="252"/>
      <c r="AA844" s="252"/>
      <c r="AB844" s="252"/>
      <c r="AC844" s="252"/>
      <c r="AD844" s="252"/>
      <c r="AG844" s="428"/>
      <c r="AH844" s="428"/>
      <c r="AI844" s="428"/>
      <c r="AJ844" s="428"/>
      <c r="AK844" s="428"/>
      <c r="AL844" s="146"/>
    </row>
    <row r="845" spans="1:38" hidden="1" x14ac:dyDescent="0.25">
      <c r="A845" s="252"/>
      <c r="B845" s="252"/>
      <c r="C845" s="252"/>
      <c r="D845" s="252"/>
      <c r="E845" s="252"/>
      <c r="F845" s="252"/>
      <c r="G845" s="252"/>
      <c r="H845" s="252"/>
      <c r="I845" s="252"/>
      <c r="J845" s="252"/>
      <c r="K845" s="252"/>
      <c r="L845" s="252"/>
      <c r="M845" s="252"/>
      <c r="N845" s="252"/>
      <c r="O845" s="252"/>
      <c r="P845" s="252"/>
      <c r="Q845" s="252"/>
      <c r="R845" s="252"/>
      <c r="S845" s="252"/>
      <c r="T845" s="252"/>
      <c r="U845" s="252"/>
      <c r="V845" s="252"/>
      <c r="W845" s="252"/>
      <c r="X845" s="252"/>
      <c r="Y845" s="252"/>
      <c r="Z845" s="252"/>
      <c r="AA845" s="252"/>
      <c r="AB845" s="252"/>
      <c r="AC845" s="252"/>
      <c r="AD845" s="252"/>
      <c r="AE845" s="428"/>
      <c r="AF845" s="428"/>
      <c r="AG845" s="428"/>
      <c r="AH845" s="428"/>
      <c r="AI845" s="428"/>
      <c r="AJ845" s="428"/>
      <c r="AK845" s="428"/>
      <c r="AL845" s="146"/>
    </row>
    <row r="846" spans="1:38" hidden="1" x14ac:dyDescent="0.25">
      <c r="A846" s="252"/>
      <c r="B846" s="252"/>
      <c r="C846" s="252"/>
      <c r="D846" s="252"/>
      <c r="E846" s="252"/>
      <c r="F846" s="252"/>
      <c r="G846" s="252"/>
      <c r="H846" s="252"/>
      <c r="I846" s="252"/>
      <c r="J846" s="252"/>
      <c r="K846" s="252"/>
      <c r="L846" s="252"/>
      <c r="M846" s="252"/>
      <c r="N846" s="252"/>
      <c r="O846" s="252"/>
      <c r="P846" s="252"/>
      <c r="Q846" s="252"/>
      <c r="R846" s="252"/>
      <c r="S846" s="252"/>
      <c r="T846" s="252"/>
      <c r="U846" s="252"/>
      <c r="V846" s="252"/>
      <c r="W846" s="252"/>
      <c r="X846" s="252"/>
      <c r="Y846" s="252"/>
      <c r="Z846" s="252"/>
      <c r="AA846" s="252"/>
      <c r="AB846" s="252"/>
      <c r="AC846" s="252"/>
      <c r="AD846" s="252"/>
      <c r="AE846" s="428"/>
      <c r="AF846" s="428"/>
      <c r="AG846" s="428"/>
      <c r="AH846" s="428"/>
      <c r="AI846" s="428"/>
      <c r="AJ846" s="428"/>
      <c r="AK846" s="428"/>
      <c r="AL846" s="146"/>
    </row>
    <row r="847" spans="1:38" hidden="1" x14ac:dyDescent="0.25">
      <c r="A847" s="252"/>
      <c r="B847" s="252"/>
      <c r="C847" s="252"/>
      <c r="D847" s="252"/>
      <c r="E847" s="252"/>
      <c r="F847" s="252"/>
      <c r="G847" s="252"/>
      <c r="H847" s="252"/>
      <c r="I847" s="252"/>
      <c r="J847" s="252"/>
      <c r="K847" s="252"/>
      <c r="L847" s="252"/>
      <c r="M847" s="252"/>
      <c r="N847" s="252"/>
      <c r="O847" s="252"/>
      <c r="P847" s="252"/>
      <c r="Q847" s="252"/>
      <c r="R847" s="252"/>
      <c r="S847" s="252"/>
      <c r="T847" s="252"/>
      <c r="U847" s="252"/>
      <c r="V847" s="252"/>
      <c r="W847" s="252"/>
      <c r="X847" s="252"/>
      <c r="Y847" s="252"/>
      <c r="Z847" s="252"/>
      <c r="AA847" s="252"/>
      <c r="AB847" s="252"/>
      <c r="AC847" s="252"/>
      <c r="AD847" s="252"/>
      <c r="AE847" s="428"/>
      <c r="AF847" s="428"/>
      <c r="AG847" s="428"/>
      <c r="AH847" s="428"/>
      <c r="AI847" s="428"/>
      <c r="AJ847" s="428"/>
      <c r="AK847" s="428"/>
      <c r="AL847" s="146"/>
    </row>
    <row r="848" spans="1:38" hidden="1" x14ac:dyDescent="0.25">
      <c r="A848" s="252"/>
      <c r="B848" s="252"/>
      <c r="C848" s="252"/>
      <c r="D848" s="252"/>
      <c r="E848" s="252"/>
      <c r="F848" s="252"/>
      <c r="G848" s="252"/>
      <c r="H848" s="252"/>
      <c r="I848" s="252"/>
      <c r="J848" s="252"/>
      <c r="K848" s="252"/>
      <c r="L848" s="252"/>
      <c r="M848" s="252"/>
      <c r="N848" s="252"/>
      <c r="O848" s="252"/>
      <c r="P848" s="252"/>
      <c r="Q848" s="252"/>
      <c r="R848" s="252"/>
      <c r="S848" s="252"/>
      <c r="T848" s="252"/>
      <c r="U848" s="252"/>
      <c r="V848" s="252"/>
      <c r="W848" s="252"/>
      <c r="X848" s="252"/>
      <c r="Y848" s="252"/>
      <c r="Z848" s="252"/>
      <c r="AA848" s="252"/>
      <c r="AB848" s="252"/>
      <c r="AC848" s="252"/>
    </row>
    <row r="849" spans="1:29" hidden="1" x14ac:dyDescent="0.25">
      <c r="A849" s="252"/>
      <c r="B849" s="252"/>
      <c r="C849" s="252"/>
      <c r="D849" s="252"/>
      <c r="E849" s="252"/>
      <c r="F849" s="252"/>
      <c r="G849" s="252"/>
      <c r="H849" s="252"/>
      <c r="I849" s="252"/>
      <c r="J849" s="252"/>
      <c r="K849" s="252"/>
      <c r="L849" s="252"/>
      <c r="M849" s="252"/>
      <c r="N849" s="252"/>
      <c r="O849" s="252"/>
      <c r="P849" s="252"/>
      <c r="Q849" s="252"/>
      <c r="R849" s="252"/>
      <c r="S849" s="252"/>
      <c r="T849" s="252"/>
      <c r="U849" s="252"/>
      <c r="V849" s="252"/>
      <c r="W849" s="252"/>
      <c r="X849" s="252"/>
      <c r="Y849" s="252"/>
      <c r="Z849" s="252"/>
      <c r="AA849" s="252"/>
      <c r="AB849" s="252"/>
      <c r="AC849" s="252"/>
    </row>
    <row r="850" spans="1:29" hidden="1" x14ac:dyDescent="0.25">
      <c r="A850" s="252"/>
      <c r="B850" s="252"/>
      <c r="C850" s="252"/>
      <c r="D850" s="252"/>
      <c r="E850" s="252"/>
      <c r="F850" s="252"/>
      <c r="G850" s="252"/>
      <c r="H850" s="252"/>
      <c r="I850" s="252"/>
      <c r="J850" s="252"/>
      <c r="K850" s="252"/>
      <c r="L850" s="252"/>
      <c r="M850" s="252"/>
      <c r="N850" s="252"/>
      <c r="O850" s="252"/>
      <c r="P850" s="252"/>
      <c r="Q850" s="252"/>
      <c r="R850" s="252"/>
      <c r="S850" s="252"/>
      <c r="T850" s="252"/>
      <c r="U850" s="252"/>
      <c r="V850" s="252"/>
      <c r="W850" s="252"/>
      <c r="X850" s="252"/>
      <c r="Y850" s="252"/>
      <c r="Z850" s="252"/>
      <c r="AA850" s="252"/>
      <c r="AB850" s="252"/>
      <c r="AC850" s="252"/>
    </row>
    <row r="851" spans="1:29" hidden="1" x14ac:dyDescent="0.25">
      <c r="A851" s="252"/>
      <c r="B851" s="252"/>
      <c r="C851" s="252"/>
      <c r="D851" s="252"/>
      <c r="E851" s="252"/>
      <c r="F851" s="252"/>
      <c r="G851" s="252"/>
      <c r="H851" s="252"/>
      <c r="I851" s="252"/>
      <c r="J851" s="252"/>
      <c r="K851" s="252"/>
      <c r="L851" s="252"/>
      <c r="M851" s="252"/>
      <c r="N851" s="252"/>
      <c r="O851" s="252"/>
      <c r="P851" s="252"/>
      <c r="Q851" s="252"/>
      <c r="R851" s="252"/>
      <c r="S851" s="252"/>
      <c r="T851" s="252"/>
      <c r="U851" s="252"/>
      <c r="V851" s="252"/>
      <c r="W851" s="252"/>
      <c r="X851" s="252"/>
      <c r="Y851" s="252"/>
      <c r="Z851" s="252"/>
      <c r="AA851" s="252"/>
      <c r="AB851" s="252"/>
      <c r="AC851" s="252"/>
    </row>
    <row r="852" spans="1:29" hidden="1" x14ac:dyDescent="0.25">
      <c r="A852" s="252"/>
      <c r="B852" s="252"/>
      <c r="C852" s="252"/>
      <c r="D852" s="252"/>
      <c r="E852" s="252"/>
      <c r="F852" s="252"/>
      <c r="G852" s="252"/>
      <c r="H852" s="252"/>
      <c r="I852" s="252"/>
      <c r="J852" s="252"/>
      <c r="K852" s="252"/>
      <c r="L852" s="252"/>
      <c r="M852" s="252"/>
      <c r="N852" s="252"/>
      <c r="O852" s="252"/>
      <c r="P852" s="252"/>
      <c r="Q852" s="252"/>
      <c r="R852" s="252"/>
      <c r="S852" s="252"/>
      <c r="T852" s="252"/>
      <c r="U852" s="252"/>
      <c r="V852" s="252"/>
      <c r="W852" s="252"/>
      <c r="X852" s="252"/>
      <c r="Y852" s="252"/>
      <c r="Z852" s="252"/>
      <c r="AA852" s="252"/>
      <c r="AB852" s="252"/>
      <c r="AC852" s="252"/>
    </row>
    <row r="853" spans="1:29" hidden="1" x14ac:dyDescent="0.25">
      <c r="A853" s="252"/>
      <c r="B853" s="252"/>
      <c r="C853" s="252"/>
      <c r="D853" s="252"/>
      <c r="E853" s="252"/>
      <c r="F853" s="252"/>
      <c r="G853" s="252"/>
      <c r="H853" s="252"/>
      <c r="I853" s="252"/>
      <c r="J853" s="252"/>
      <c r="K853" s="252"/>
      <c r="L853" s="252"/>
      <c r="M853" s="252"/>
      <c r="N853" s="252"/>
      <c r="O853" s="252"/>
      <c r="P853" s="252"/>
      <c r="Q853" s="252"/>
      <c r="R853" s="252"/>
      <c r="S853" s="252"/>
      <c r="T853" s="252"/>
      <c r="U853" s="252"/>
      <c r="V853" s="252"/>
      <c r="W853" s="252"/>
      <c r="X853" s="252"/>
      <c r="Y853" s="252"/>
      <c r="Z853" s="252"/>
      <c r="AA853" s="252"/>
      <c r="AB853" s="252"/>
      <c r="AC853" s="252"/>
    </row>
    <row r="854" spans="1:29" hidden="1" x14ac:dyDescent="0.25">
      <c r="A854" s="252"/>
      <c r="B854" s="252"/>
      <c r="C854" s="252"/>
      <c r="D854" s="252"/>
      <c r="E854" s="252"/>
      <c r="F854" s="252"/>
      <c r="G854" s="252"/>
      <c r="H854" s="252"/>
      <c r="I854" s="252"/>
      <c r="J854" s="252"/>
      <c r="K854" s="252"/>
      <c r="L854" s="252"/>
      <c r="M854" s="252"/>
      <c r="N854" s="252"/>
      <c r="O854" s="252"/>
      <c r="P854" s="252"/>
      <c r="Q854" s="252"/>
      <c r="R854" s="252"/>
      <c r="S854" s="252"/>
      <c r="T854" s="252"/>
      <c r="U854" s="252"/>
      <c r="V854" s="252"/>
      <c r="W854" s="252"/>
      <c r="X854" s="252"/>
      <c r="Y854" s="252"/>
      <c r="Z854" s="252"/>
      <c r="AA854" s="252"/>
      <c r="AB854" s="252"/>
      <c r="AC854" s="252"/>
    </row>
    <row r="855" spans="1:29" hidden="1" x14ac:dyDescent="0.25">
      <c r="A855" s="252"/>
      <c r="B855" s="252"/>
      <c r="C855" s="252"/>
      <c r="D855" s="252"/>
      <c r="E855" s="252"/>
      <c r="F855" s="252"/>
      <c r="G855" s="252"/>
      <c r="H855" s="252"/>
      <c r="I855" s="252"/>
      <c r="J855" s="252"/>
      <c r="K855" s="252"/>
      <c r="L855" s="252"/>
      <c r="M855" s="252"/>
      <c r="N855" s="252"/>
      <c r="O855" s="252"/>
      <c r="P855" s="252"/>
      <c r="Q855" s="252"/>
      <c r="R855" s="252"/>
      <c r="S855" s="252"/>
      <c r="T855" s="252"/>
      <c r="U855" s="252"/>
      <c r="V855" s="252"/>
      <c r="W855" s="252"/>
      <c r="X855" s="252"/>
      <c r="Y855" s="252"/>
      <c r="Z855" s="252"/>
      <c r="AA855" s="252"/>
      <c r="AB855" s="252"/>
      <c r="AC855" s="252"/>
    </row>
    <row r="856" spans="1:29" hidden="1" x14ac:dyDescent="0.25">
      <c r="A856" s="252"/>
      <c r="B856" s="252"/>
      <c r="C856" s="252"/>
      <c r="D856" s="252"/>
      <c r="E856" s="252"/>
      <c r="F856" s="252"/>
      <c r="G856" s="252"/>
      <c r="H856" s="252"/>
      <c r="I856" s="252"/>
      <c r="J856" s="252"/>
      <c r="K856" s="252"/>
      <c r="L856" s="252"/>
      <c r="M856" s="252"/>
      <c r="N856" s="252"/>
      <c r="O856" s="252"/>
      <c r="P856" s="252"/>
      <c r="Q856" s="252"/>
      <c r="R856" s="252"/>
      <c r="S856" s="252"/>
      <c r="T856" s="252"/>
      <c r="U856" s="252"/>
      <c r="V856" s="252"/>
      <c r="W856" s="252"/>
      <c r="X856" s="252"/>
      <c r="Y856" s="252"/>
      <c r="Z856" s="252"/>
      <c r="AA856" s="252"/>
      <c r="AB856" s="252"/>
      <c r="AC856" s="252"/>
    </row>
    <row r="857" spans="1:29" hidden="1" x14ac:dyDescent="0.25">
      <c r="A857" s="252"/>
      <c r="B857" s="252"/>
      <c r="C857" s="252"/>
      <c r="D857" s="252"/>
      <c r="E857" s="252"/>
      <c r="F857" s="252"/>
      <c r="G857" s="252"/>
      <c r="H857" s="252"/>
      <c r="I857" s="252"/>
      <c r="J857" s="252"/>
      <c r="K857" s="252"/>
      <c r="L857" s="252"/>
      <c r="M857" s="252"/>
      <c r="N857" s="252"/>
      <c r="O857" s="252"/>
      <c r="P857" s="252"/>
      <c r="Q857" s="252"/>
      <c r="R857" s="252"/>
      <c r="S857" s="252"/>
      <c r="T857" s="252"/>
      <c r="U857" s="252"/>
      <c r="V857" s="252"/>
      <c r="W857" s="252"/>
      <c r="X857" s="252"/>
      <c r="Y857" s="252"/>
      <c r="Z857" s="252"/>
      <c r="AA857" s="252"/>
      <c r="AB857" s="252"/>
      <c r="AC857" s="252"/>
    </row>
    <row r="858" spans="1:29" hidden="1" x14ac:dyDescent="0.25">
      <c r="A858" s="252"/>
      <c r="B858" s="252"/>
      <c r="C858" s="252"/>
      <c r="D858" s="252"/>
      <c r="E858" s="252"/>
      <c r="F858" s="252"/>
      <c r="G858" s="252"/>
      <c r="H858" s="252"/>
      <c r="I858" s="252"/>
      <c r="J858" s="252"/>
      <c r="K858" s="252"/>
      <c r="L858" s="252"/>
      <c r="M858" s="252"/>
      <c r="N858" s="252"/>
      <c r="O858" s="252"/>
      <c r="P858" s="252"/>
      <c r="Q858" s="252"/>
      <c r="R858" s="252"/>
      <c r="S858" s="252"/>
      <c r="T858" s="252"/>
      <c r="U858" s="252"/>
      <c r="V858" s="252"/>
      <c r="W858" s="252"/>
      <c r="X858" s="252"/>
      <c r="Y858" s="252"/>
      <c r="Z858" s="252"/>
      <c r="AA858" s="252"/>
      <c r="AB858" s="252"/>
      <c r="AC858" s="252"/>
    </row>
    <row r="859" spans="1:29" hidden="1" x14ac:dyDescent="0.25">
      <c r="A859" s="252"/>
      <c r="B859" s="252"/>
      <c r="C859" s="252"/>
      <c r="D859" s="252"/>
      <c r="E859" s="252"/>
      <c r="F859" s="252"/>
      <c r="G859" s="252"/>
      <c r="H859" s="252"/>
      <c r="I859" s="252"/>
      <c r="J859" s="252"/>
      <c r="K859" s="252"/>
      <c r="L859" s="252"/>
      <c r="M859" s="252"/>
      <c r="N859" s="252"/>
      <c r="O859" s="252"/>
      <c r="P859" s="252"/>
      <c r="Q859" s="252"/>
      <c r="R859" s="252"/>
      <c r="S859" s="252"/>
      <c r="T859" s="252"/>
      <c r="U859" s="252"/>
      <c r="V859" s="252"/>
      <c r="W859" s="252"/>
      <c r="X859" s="252"/>
      <c r="Y859" s="252"/>
      <c r="Z859" s="252"/>
      <c r="AA859" s="252"/>
      <c r="AB859" s="252"/>
      <c r="AC859" s="252"/>
    </row>
    <row r="860" spans="1:29" hidden="1" x14ac:dyDescent="0.25">
      <c r="A860" s="252"/>
      <c r="B860" s="252"/>
      <c r="C860" s="252"/>
      <c r="D860" s="252"/>
      <c r="E860" s="252"/>
      <c r="F860" s="252"/>
      <c r="G860" s="252"/>
      <c r="H860" s="252"/>
      <c r="I860" s="252"/>
      <c r="J860" s="252"/>
      <c r="K860" s="252"/>
      <c r="L860" s="252"/>
      <c r="M860" s="252"/>
      <c r="N860" s="252"/>
      <c r="O860" s="252"/>
      <c r="P860" s="252"/>
      <c r="Q860" s="252"/>
      <c r="R860" s="252"/>
      <c r="S860" s="252"/>
      <c r="T860" s="252"/>
      <c r="U860" s="252"/>
      <c r="V860" s="252"/>
      <c r="W860" s="252"/>
      <c r="X860" s="252"/>
      <c r="Y860" s="252"/>
      <c r="Z860" s="252"/>
      <c r="AA860" s="252"/>
      <c r="AB860" s="252"/>
      <c r="AC860" s="252"/>
    </row>
    <row r="861" spans="1:29" hidden="1" x14ac:dyDescent="0.25">
      <c r="A861" s="252"/>
      <c r="B861" s="252"/>
      <c r="C861" s="252"/>
      <c r="D861" s="252"/>
      <c r="E861" s="252"/>
      <c r="F861" s="252"/>
      <c r="G861" s="252"/>
      <c r="H861" s="252"/>
      <c r="I861" s="252"/>
      <c r="J861" s="252"/>
      <c r="K861" s="252"/>
      <c r="L861" s="252"/>
      <c r="M861" s="252"/>
      <c r="N861" s="252"/>
      <c r="O861" s="252"/>
      <c r="P861" s="252"/>
      <c r="Q861" s="252"/>
      <c r="R861" s="252"/>
      <c r="S861" s="252"/>
      <c r="T861" s="252"/>
      <c r="U861" s="252"/>
      <c r="V861" s="252"/>
      <c r="W861" s="252"/>
      <c r="X861" s="252"/>
      <c r="Y861" s="252"/>
      <c r="Z861" s="252"/>
      <c r="AA861" s="252"/>
      <c r="AB861" s="252"/>
      <c r="AC861" s="252"/>
    </row>
    <row r="862" spans="1:29" hidden="1" x14ac:dyDescent="0.25">
      <c r="A862" s="252"/>
      <c r="B862" s="252"/>
      <c r="C862" s="252"/>
      <c r="D862" s="252"/>
      <c r="E862" s="252"/>
      <c r="F862" s="252"/>
      <c r="G862" s="252"/>
      <c r="H862" s="252"/>
      <c r="I862" s="252"/>
      <c r="J862" s="252"/>
      <c r="K862" s="252"/>
      <c r="L862" s="252"/>
      <c r="M862" s="252"/>
      <c r="N862" s="252"/>
      <c r="O862" s="252"/>
      <c r="P862" s="252"/>
      <c r="Q862" s="252"/>
      <c r="R862" s="252"/>
      <c r="S862" s="252"/>
      <c r="T862" s="252"/>
      <c r="U862" s="252"/>
      <c r="V862" s="252"/>
      <c r="W862" s="252"/>
      <c r="X862" s="252"/>
      <c r="Y862" s="252"/>
      <c r="Z862" s="252"/>
      <c r="AA862" s="252"/>
      <c r="AB862" s="252"/>
      <c r="AC862" s="252"/>
    </row>
    <row r="863" spans="1:29" hidden="1" x14ac:dyDescent="0.25">
      <c r="A863" s="252"/>
      <c r="B863" s="252"/>
      <c r="C863" s="252"/>
      <c r="D863" s="252"/>
      <c r="E863" s="252"/>
      <c r="F863" s="252"/>
      <c r="G863" s="252"/>
      <c r="H863" s="252"/>
      <c r="I863" s="252"/>
      <c r="J863" s="252"/>
      <c r="K863" s="252"/>
      <c r="L863" s="252"/>
      <c r="M863" s="252"/>
      <c r="N863" s="252"/>
      <c r="O863" s="252"/>
      <c r="P863" s="252"/>
      <c r="Q863" s="252"/>
      <c r="R863" s="252"/>
      <c r="S863" s="252"/>
      <c r="T863" s="252"/>
      <c r="U863" s="252"/>
      <c r="V863" s="252"/>
      <c r="W863" s="252"/>
      <c r="X863" s="252"/>
      <c r="Y863" s="252"/>
      <c r="Z863" s="252"/>
      <c r="AA863" s="252"/>
      <c r="AB863" s="252"/>
      <c r="AC863" s="252"/>
    </row>
    <row r="864" spans="1:29" hidden="1" x14ac:dyDescent="0.25">
      <c r="A864" s="252"/>
      <c r="B864" s="252"/>
      <c r="C864" s="252"/>
      <c r="D864" s="252"/>
      <c r="E864" s="252"/>
      <c r="F864" s="252"/>
      <c r="G864" s="252"/>
      <c r="H864" s="252"/>
      <c r="I864" s="252"/>
      <c r="J864" s="252"/>
      <c r="K864" s="252"/>
      <c r="L864" s="252"/>
      <c r="M864" s="252"/>
      <c r="N864" s="252"/>
      <c r="O864" s="252"/>
      <c r="P864" s="252"/>
      <c r="Q864" s="252"/>
      <c r="R864" s="252"/>
      <c r="S864" s="252"/>
      <c r="T864" s="252"/>
      <c r="U864" s="252"/>
      <c r="V864" s="252"/>
      <c r="W864" s="252"/>
      <c r="X864" s="252"/>
      <c r="Y864" s="252"/>
      <c r="Z864" s="252"/>
      <c r="AA864" s="252"/>
      <c r="AB864" s="252"/>
      <c r="AC864" s="252"/>
    </row>
    <row r="865" spans="1:29" hidden="1" x14ac:dyDescent="0.25">
      <c r="A865" s="252"/>
      <c r="B865" s="252"/>
      <c r="C865" s="252"/>
      <c r="D865" s="252"/>
      <c r="E865" s="252"/>
      <c r="F865" s="252"/>
      <c r="G865" s="252"/>
      <c r="H865" s="252"/>
      <c r="I865" s="252"/>
      <c r="J865" s="252"/>
      <c r="K865" s="252"/>
      <c r="L865" s="252"/>
      <c r="M865" s="252"/>
      <c r="N865" s="252"/>
      <c r="O865" s="252"/>
      <c r="P865" s="252"/>
      <c r="Q865" s="252"/>
      <c r="R865" s="252"/>
      <c r="S865" s="252"/>
      <c r="T865" s="252"/>
      <c r="U865" s="252"/>
      <c r="V865" s="252"/>
      <c r="W865" s="252"/>
      <c r="X865" s="252"/>
      <c r="Y865" s="252"/>
      <c r="Z865" s="252"/>
      <c r="AA865" s="252"/>
      <c r="AB865" s="252"/>
      <c r="AC865" s="252"/>
    </row>
    <row r="866" spans="1:29" hidden="1" x14ac:dyDescent="0.25">
      <c r="A866" s="252"/>
      <c r="B866" s="252"/>
      <c r="C866" s="252"/>
      <c r="D866" s="252"/>
      <c r="E866" s="252"/>
      <c r="F866" s="252"/>
      <c r="G866" s="252"/>
      <c r="H866" s="252"/>
      <c r="I866" s="252"/>
      <c r="J866" s="252"/>
      <c r="K866" s="252"/>
      <c r="L866" s="252"/>
      <c r="M866" s="252"/>
      <c r="N866" s="252"/>
      <c r="O866" s="252"/>
      <c r="P866" s="252"/>
      <c r="Q866" s="252"/>
      <c r="R866" s="252"/>
      <c r="S866" s="252"/>
      <c r="T866" s="252"/>
      <c r="U866" s="252"/>
      <c r="V866" s="252"/>
      <c r="W866" s="252"/>
      <c r="X866" s="252"/>
      <c r="Y866" s="252"/>
      <c r="Z866" s="252"/>
      <c r="AA866" s="252"/>
      <c r="AB866" s="252"/>
      <c r="AC866" s="252"/>
    </row>
    <row r="867" spans="1:29" hidden="1" x14ac:dyDescent="0.25">
      <c r="A867" s="252"/>
      <c r="B867" s="252"/>
      <c r="C867" s="252"/>
      <c r="D867" s="252"/>
      <c r="E867" s="252"/>
      <c r="F867" s="252"/>
      <c r="G867" s="252"/>
      <c r="H867" s="252"/>
      <c r="I867" s="252"/>
      <c r="J867" s="252"/>
      <c r="K867" s="252"/>
      <c r="L867" s="252"/>
      <c r="M867" s="252"/>
      <c r="N867" s="252"/>
      <c r="O867" s="252"/>
      <c r="P867" s="252"/>
      <c r="Q867" s="252"/>
      <c r="R867" s="252"/>
      <c r="S867" s="252"/>
      <c r="T867" s="252"/>
      <c r="U867" s="252"/>
      <c r="V867" s="252"/>
      <c r="W867" s="252"/>
      <c r="X867" s="252"/>
      <c r="Y867" s="252"/>
      <c r="Z867" s="252"/>
      <c r="AA867" s="252"/>
      <c r="AB867" s="252"/>
      <c r="AC867" s="252"/>
    </row>
    <row r="868" spans="1:29" hidden="1" x14ac:dyDescent="0.25">
      <c r="A868" s="252"/>
      <c r="B868" s="252"/>
      <c r="C868" s="252"/>
      <c r="D868" s="252"/>
      <c r="E868" s="252"/>
      <c r="F868" s="252"/>
      <c r="G868" s="252"/>
      <c r="H868" s="252"/>
      <c r="I868" s="252"/>
      <c r="J868" s="252"/>
      <c r="K868" s="252"/>
      <c r="L868" s="252"/>
      <c r="M868" s="252"/>
      <c r="N868" s="252"/>
      <c r="O868" s="252"/>
      <c r="P868" s="252"/>
      <c r="Q868" s="252"/>
      <c r="R868" s="252"/>
      <c r="S868" s="252"/>
      <c r="T868" s="252"/>
      <c r="U868" s="252"/>
      <c r="V868" s="252"/>
      <c r="W868" s="252"/>
      <c r="X868" s="252"/>
      <c r="Y868" s="252"/>
      <c r="Z868" s="252"/>
      <c r="AA868" s="252"/>
      <c r="AB868" s="252"/>
      <c r="AC868" s="252"/>
    </row>
    <row r="869" spans="1:29" hidden="1" x14ac:dyDescent="0.25">
      <c r="A869" s="252"/>
      <c r="B869" s="252"/>
      <c r="C869" s="252"/>
      <c r="D869" s="252"/>
      <c r="E869" s="252"/>
      <c r="F869" s="252"/>
      <c r="G869" s="252"/>
      <c r="H869" s="252"/>
      <c r="I869" s="252"/>
      <c r="J869" s="252"/>
      <c r="K869" s="252"/>
      <c r="L869" s="252"/>
      <c r="M869" s="252"/>
      <c r="N869" s="252"/>
      <c r="O869" s="252"/>
      <c r="P869" s="252"/>
      <c r="Q869" s="252"/>
      <c r="R869" s="252"/>
      <c r="S869" s="252"/>
      <c r="T869" s="252"/>
      <c r="U869" s="252"/>
      <c r="V869" s="252"/>
      <c r="W869" s="252"/>
      <c r="X869" s="252"/>
      <c r="Y869" s="252"/>
      <c r="Z869" s="252"/>
      <c r="AA869" s="252"/>
      <c r="AB869" s="252"/>
      <c r="AC869" s="252"/>
    </row>
    <row r="870" spans="1:29" hidden="1" x14ac:dyDescent="0.25">
      <c r="A870" s="252"/>
      <c r="B870" s="252"/>
      <c r="C870" s="252"/>
      <c r="D870" s="252"/>
      <c r="E870" s="252"/>
      <c r="F870" s="252"/>
      <c r="G870" s="252"/>
      <c r="H870" s="252"/>
      <c r="I870" s="252"/>
      <c r="J870" s="252"/>
      <c r="K870" s="252"/>
      <c r="L870" s="252"/>
      <c r="M870" s="252"/>
      <c r="N870" s="252"/>
      <c r="O870" s="252"/>
      <c r="P870" s="252"/>
      <c r="Q870" s="252"/>
      <c r="R870" s="252"/>
      <c r="S870" s="252"/>
      <c r="T870" s="252"/>
      <c r="U870" s="252"/>
      <c r="V870" s="252"/>
      <c r="W870" s="252"/>
      <c r="X870" s="252"/>
      <c r="Y870" s="252"/>
      <c r="Z870" s="252"/>
      <c r="AA870" s="252"/>
      <c r="AB870" s="252"/>
      <c r="AC870" s="252"/>
    </row>
    <row r="871" spans="1:29" hidden="1" x14ac:dyDescent="0.25">
      <c r="A871" s="252"/>
      <c r="B871" s="252"/>
      <c r="C871" s="252"/>
      <c r="D871" s="252"/>
      <c r="E871" s="252"/>
      <c r="F871" s="252"/>
      <c r="G871" s="252"/>
      <c r="H871" s="252"/>
      <c r="I871" s="252"/>
      <c r="J871" s="252"/>
      <c r="K871" s="252"/>
      <c r="L871" s="252"/>
      <c r="M871" s="252"/>
      <c r="N871" s="252"/>
      <c r="O871" s="252"/>
      <c r="P871" s="252"/>
      <c r="Q871" s="252"/>
      <c r="R871" s="252"/>
      <c r="S871" s="252"/>
      <c r="T871" s="252"/>
      <c r="U871" s="252"/>
      <c r="V871" s="252"/>
      <c r="W871" s="252"/>
      <c r="X871" s="252"/>
      <c r="Y871" s="252"/>
      <c r="Z871" s="252"/>
      <c r="AA871" s="252"/>
      <c r="AB871" s="252"/>
      <c r="AC871" s="252"/>
    </row>
    <row r="872" spans="1:29" hidden="1" x14ac:dyDescent="0.25">
      <c r="A872" s="252"/>
      <c r="B872" s="252"/>
      <c r="C872" s="252"/>
      <c r="D872" s="252"/>
      <c r="E872" s="252"/>
      <c r="F872" s="252"/>
      <c r="G872" s="252"/>
      <c r="H872" s="252"/>
      <c r="I872" s="252"/>
      <c r="J872" s="252"/>
      <c r="K872" s="252"/>
      <c r="L872" s="252"/>
      <c r="M872" s="252"/>
      <c r="N872" s="252"/>
      <c r="O872" s="252"/>
      <c r="P872" s="252"/>
      <c r="Q872" s="252"/>
      <c r="R872" s="252"/>
      <c r="S872" s="252"/>
      <c r="T872" s="252"/>
      <c r="U872" s="252"/>
      <c r="V872" s="252"/>
      <c r="W872" s="252"/>
      <c r="X872" s="252"/>
      <c r="Y872" s="252"/>
      <c r="Z872" s="252"/>
      <c r="AA872" s="252"/>
      <c r="AB872" s="252"/>
      <c r="AC872" s="252"/>
    </row>
    <row r="873" spans="1:29" hidden="1" x14ac:dyDescent="0.25">
      <c r="A873" s="252"/>
      <c r="B873" s="252"/>
      <c r="C873" s="252"/>
      <c r="D873" s="252"/>
      <c r="E873" s="252"/>
      <c r="F873" s="252"/>
      <c r="G873" s="252"/>
      <c r="H873" s="252"/>
      <c r="I873" s="252"/>
      <c r="J873" s="252"/>
      <c r="K873" s="252"/>
      <c r="L873" s="252"/>
      <c r="M873" s="252"/>
      <c r="N873" s="252"/>
      <c r="O873" s="252"/>
      <c r="P873" s="252"/>
      <c r="Q873" s="252"/>
      <c r="R873" s="252"/>
      <c r="S873" s="252"/>
      <c r="T873" s="252"/>
      <c r="U873" s="252"/>
      <c r="V873" s="252"/>
      <c r="W873" s="252"/>
      <c r="X873" s="252"/>
      <c r="Y873" s="252"/>
      <c r="Z873" s="252"/>
      <c r="AA873" s="252"/>
      <c r="AB873" s="252"/>
      <c r="AC873" s="252"/>
    </row>
    <row r="874" spans="1:29" hidden="1" x14ac:dyDescent="0.25">
      <c r="A874" s="252"/>
      <c r="B874" s="252"/>
      <c r="C874" s="252"/>
      <c r="D874" s="252"/>
      <c r="E874" s="252"/>
      <c r="F874" s="252"/>
      <c r="G874" s="252"/>
      <c r="H874" s="252"/>
      <c r="I874" s="252"/>
      <c r="J874" s="252"/>
      <c r="K874" s="252"/>
      <c r="L874" s="252"/>
      <c r="M874" s="252"/>
      <c r="N874" s="252"/>
      <c r="O874" s="252"/>
      <c r="P874" s="252"/>
      <c r="Q874" s="252"/>
      <c r="R874" s="252"/>
      <c r="S874" s="252"/>
      <c r="T874" s="252"/>
      <c r="U874" s="252"/>
      <c r="V874" s="252"/>
      <c r="W874" s="252"/>
      <c r="X874" s="252"/>
      <c r="Y874" s="252"/>
      <c r="Z874" s="252"/>
      <c r="AA874" s="252"/>
      <c r="AB874" s="252"/>
      <c r="AC874" s="252"/>
    </row>
    <row r="875" spans="1:29" hidden="1" x14ac:dyDescent="0.25">
      <c r="A875" s="252"/>
      <c r="B875" s="252"/>
      <c r="C875" s="252"/>
      <c r="D875" s="252"/>
      <c r="E875" s="252"/>
      <c r="F875" s="252"/>
      <c r="G875" s="252"/>
      <c r="H875" s="252"/>
      <c r="I875" s="252"/>
      <c r="J875" s="252"/>
      <c r="K875" s="252"/>
      <c r="L875" s="252"/>
      <c r="M875" s="252"/>
      <c r="N875" s="252"/>
      <c r="O875" s="252"/>
      <c r="P875" s="252"/>
      <c r="Q875" s="252"/>
      <c r="R875" s="252"/>
      <c r="S875" s="252"/>
      <c r="T875" s="252"/>
      <c r="U875" s="252"/>
      <c r="V875" s="252"/>
      <c r="W875" s="252"/>
      <c r="X875" s="252"/>
      <c r="Y875" s="252"/>
      <c r="Z875" s="252"/>
      <c r="AA875" s="252"/>
      <c r="AB875" s="252"/>
      <c r="AC875" s="252"/>
    </row>
    <row r="876" spans="1:29" hidden="1" x14ac:dyDescent="0.25">
      <c r="A876" s="252"/>
      <c r="B876" s="252"/>
      <c r="C876" s="252"/>
      <c r="D876" s="252"/>
      <c r="E876" s="252"/>
      <c r="F876" s="252"/>
      <c r="G876" s="252"/>
      <c r="H876" s="252"/>
      <c r="I876" s="252"/>
      <c r="J876" s="252"/>
      <c r="K876" s="252"/>
      <c r="L876" s="252"/>
      <c r="M876" s="252"/>
      <c r="N876" s="252"/>
      <c r="O876" s="252"/>
      <c r="P876" s="252"/>
      <c r="Q876" s="252"/>
      <c r="R876" s="252"/>
      <c r="S876" s="252"/>
      <c r="T876" s="252"/>
      <c r="U876" s="252"/>
      <c r="V876" s="252"/>
      <c r="W876" s="252"/>
      <c r="X876" s="252"/>
      <c r="Y876" s="252"/>
      <c r="Z876" s="252"/>
      <c r="AA876" s="252"/>
      <c r="AB876" s="252"/>
      <c r="AC876" s="252"/>
    </row>
    <row r="877" spans="1:29" hidden="1" x14ac:dyDescent="0.25">
      <c r="A877" s="252"/>
      <c r="B877" s="252"/>
      <c r="C877" s="252"/>
      <c r="D877" s="252"/>
      <c r="E877" s="252"/>
      <c r="F877" s="252"/>
      <c r="G877" s="252"/>
      <c r="H877" s="252"/>
      <c r="I877" s="252"/>
      <c r="J877" s="252"/>
      <c r="K877" s="252"/>
      <c r="L877" s="252"/>
      <c r="M877" s="252"/>
      <c r="N877" s="252"/>
      <c r="O877" s="252"/>
      <c r="P877" s="252"/>
      <c r="Q877" s="252"/>
      <c r="R877" s="252"/>
      <c r="S877" s="252"/>
      <c r="T877" s="252"/>
      <c r="U877" s="252"/>
      <c r="V877" s="252"/>
      <c r="W877" s="252"/>
      <c r="X877" s="252"/>
      <c r="Y877" s="252"/>
      <c r="Z877" s="252"/>
      <c r="AA877" s="252"/>
      <c r="AB877" s="252"/>
      <c r="AC877" s="252"/>
    </row>
    <row r="878" spans="1:29" hidden="1" x14ac:dyDescent="0.25">
      <c r="A878" s="252"/>
      <c r="B878" s="252"/>
      <c r="C878" s="252"/>
      <c r="D878" s="252"/>
      <c r="E878" s="252"/>
      <c r="F878" s="252"/>
      <c r="G878" s="252"/>
      <c r="H878" s="252"/>
      <c r="I878" s="252"/>
      <c r="J878" s="252"/>
      <c r="K878" s="252"/>
      <c r="L878" s="252"/>
      <c r="M878" s="252"/>
      <c r="N878" s="252"/>
      <c r="O878" s="252"/>
      <c r="P878" s="252"/>
      <c r="Q878" s="252"/>
      <c r="R878" s="252"/>
      <c r="S878" s="252"/>
      <c r="T878" s="252"/>
      <c r="U878" s="252"/>
      <c r="V878" s="252"/>
      <c r="W878" s="252"/>
      <c r="X878" s="252"/>
      <c r="Y878" s="252"/>
      <c r="Z878" s="252"/>
      <c r="AA878" s="252"/>
      <c r="AB878" s="252"/>
      <c r="AC878" s="252"/>
    </row>
    <row r="879" spans="1:29" hidden="1" x14ac:dyDescent="0.25">
      <c r="A879" s="252"/>
      <c r="B879" s="252"/>
      <c r="C879" s="252"/>
      <c r="D879" s="252"/>
      <c r="E879" s="252"/>
      <c r="F879" s="252"/>
      <c r="G879" s="252"/>
      <c r="H879" s="252"/>
      <c r="I879" s="252"/>
      <c r="J879" s="252"/>
      <c r="K879" s="252"/>
      <c r="L879" s="252"/>
      <c r="M879" s="252"/>
      <c r="N879" s="252"/>
      <c r="O879" s="252"/>
      <c r="P879" s="252"/>
      <c r="Q879" s="252"/>
      <c r="R879" s="252"/>
      <c r="S879" s="252"/>
      <c r="T879" s="252"/>
      <c r="U879" s="252"/>
      <c r="V879" s="252"/>
      <c r="W879" s="252"/>
      <c r="X879" s="252"/>
      <c r="Y879" s="252"/>
      <c r="Z879" s="252"/>
      <c r="AA879" s="252"/>
      <c r="AB879" s="252"/>
      <c r="AC879" s="252"/>
    </row>
    <row r="880" spans="1:29" hidden="1" x14ac:dyDescent="0.25">
      <c r="A880" s="252"/>
      <c r="B880" s="252"/>
      <c r="C880" s="252"/>
      <c r="D880" s="252"/>
      <c r="E880" s="252"/>
      <c r="F880" s="252"/>
      <c r="G880" s="252"/>
      <c r="H880" s="252"/>
      <c r="I880" s="252"/>
      <c r="J880" s="252"/>
      <c r="K880" s="252"/>
      <c r="L880" s="252"/>
      <c r="M880" s="252"/>
      <c r="N880" s="252"/>
      <c r="O880" s="252"/>
      <c r="P880" s="252"/>
      <c r="Q880" s="252"/>
      <c r="R880" s="252"/>
      <c r="S880" s="252"/>
      <c r="T880" s="252"/>
      <c r="U880" s="252"/>
      <c r="V880" s="252"/>
      <c r="W880" s="252"/>
      <c r="X880" s="252"/>
      <c r="Y880" s="252"/>
      <c r="Z880" s="252"/>
      <c r="AA880" s="252"/>
      <c r="AB880" s="252"/>
      <c r="AC880" s="252"/>
    </row>
    <row r="881" spans="1:29" hidden="1" x14ac:dyDescent="0.25">
      <c r="A881" s="252"/>
      <c r="B881" s="252"/>
      <c r="C881" s="252"/>
      <c r="D881" s="252"/>
      <c r="E881" s="252"/>
      <c r="F881" s="252"/>
      <c r="G881" s="252"/>
      <c r="H881" s="252"/>
      <c r="I881" s="252"/>
      <c r="J881" s="252"/>
      <c r="K881" s="252"/>
      <c r="L881" s="252"/>
      <c r="M881" s="252"/>
      <c r="N881" s="252"/>
      <c r="O881" s="252"/>
      <c r="P881" s="252"/>
      <c r="Q881" s="252"/>
      <c r="R881" s="252"/>
      <c r="S881" s="252"/>
      <c r="T881" s="252"/>
      <c r="U881" s="252"/>
      <c r="V881" s="252"/>
      <c r="W881" s="252"/>
      <c r="X881" s="252"/>
      <c r="Y881" s="252"/>
      <c r="Z881" s="252"/>
      <c r="AA881" s="252"/>
      <c r="AB881" s="252"/>
      <c r="AC881" s="252"/>
    </row>
    <row r="882" spans="1:29" hidden="1" x14ac:dyDescent="0.25">
      <c r="A882" s="252"/>
      <c r="B882" s="252"/>
      <c r="C882" s="252"/>
      <c r="D882" s="252"/>
      <c r="E882" s="252"/>
      <c r="F882" s="252"/>
      <c r="G882" s="252"/>
      <c r="H882" s="252"/>
      <c r="I882" s="252"/>
      <c r="J882" s="252"/>
      <c r="K882" s="252"/>
      <c r="L882" s="252"/>
      <c r="M882" s="252"/>
      <c r="N882" s="252"/>
      <c r="O882" s="252"/>
      <c r="P882" s="252"/>
      <c r="Q882" s="252"/>
      <c r="R882" s="252"/>
      <c r="S882" s="252"/>
      <c r="T882" s="252"/>
      <c r="U882" s="252"/>
      <c r="V882" s="252"/>
      <c r="W882" s="252"/>
      <c r="X882" s="252"/>
      <c r="Y882" s="252"/>
      <c r="Z882" s="252"/>
      <c r="AA882" s="252"/>
      <c r="AB882" s="252"/>
      <c r="AC882" s="252"/>
    </row>
    <row r="883" spans="1:29" hidden="1" x14ac:dyDescent="0.25">
      <c r="A883" s="252"/>
      <c r="B883" s="252"/>
      <c r="C883" s="252"/>
      <c r="D883" s="252"/>
      <c r="E883" s="252"/>
      <c r="F883" s="252"/>
      <c r="G883" s="252"/>
      <c r="H883" s="252"/>
      <c r="I883" s="252"/>
      <c r="J883" s="252"/>
      <c r="K883" s="252"/>
      <c r="L883" s="252"/>
      <c r="M883" s="252"/>
      <c r="N883" s="252"/>
      <c r="O883" s="252"/>
      <c r="P883" s="252"/>
      <c r="Q883" s="252"/>
      <c r="R883" s="252"/>
      <c r="S883" s="252"/>
      <c r="T883" s="252"/>
      <c r="U883" s="252"/>
      <c r="V883" s="252"/>
      <c r="W883" s="252"/>
      <c r="X883" s="252"/>
      <c r="Y883" s="252"/>
      <c r="Z883" s="252"/>
      <c r="AA883" s="252"/>
      <c r="AB883" s="252"/>
      <c r="AC883" s="252"/>
    </row>
    <row r="884" spans="1:29" hidden="1" x14ac:dyDescent="0.25">
      <c r="A884" s="252"/>
      <c r="B884" s="252"/>
      <c r="C884" s="252"/>
      <c r="D884" s="252"/>
      <c r="E884" s="252"/>
      <c r="F884" s="252"/>
      <c r="G884" s="252"/>
      <c r="H884" s="252"/>
      <c r="I884" s="252"/>
      <c r="J884" s="252"/>
      <c r="K884" s="252"/>
      <c r="L884" s="252"/>
      <c r="M884" s="252"/>
      <c r="N884" s="252"/>
      <c r="O884" s="252"/>
      <c r="P884" s="252"/>
      <c r="Q884" s="252"/>
      <c r="R884" s="252"/>
      <c r="S884" s="252"/>
      <c r="T884" s="252"/>
      <c r="U884" s="252"/>
      <c r="V884" s="252"/>
      <c r="W884" s="252"/>
      <c r="X884" s="252"/>
      <c r="Y884" s="252"/>
      <c r="Z884" s="252"/>
      <c r="AA884" s="252"/>
      <c r="AB884" s="252"/>
      <c r="AC884" s="252"/>
    </row>
    <row r="885" spans="1:29" hidden="1" x14ac:dyDescent="0.25">
      <c r="A885" s="252"/>
      <c r="B885" s="252"/>
      <c r="C885" s="252"/>
      <c r="D885" s="252"/>
      <c r="E885" s="252"/>
      <c r="F885" s="252"/>
      <c r="G885" s="252"/>
      <c r="H885" s="252"/>
      <c r="I885" s="252"/>
      <c r="J885" s="252"/>
      <c r="K885" s="252"/>
      <c r="L885" s="252"/>
      <c r="M885" s="252"/>
      <c r="N885" s="252"/>
      <c r="O885" s="252"/>
      <c r="P885" s="252"/>
      <c r="Q885" s="252"/>
      <c r="R885" s="252"/>
      <c r="S885" s="252"/>
      <c r="T885" s="252"/>
      <c r="U885" s="252"/>
      <c r="V885" s="252"/>
      <c r="W885" s="252"/>
      <c r="X885" s="252"/>
      <c r="Y885" s="252"/>
      <c r="Z885" s="252"/>
      <c r="AA885" s="252"/>
      <c r="AB885" s="252"/>
      <c r="AC885" s="252"/>
    </row>
    <row r="886" spans="1:29" hidden="1" x14ac:dyDescent="0.25">
      <c r="A886" s="252"/>
      <c r="B886" s="252"/>
      <c r="C886" s="252"/>
      <c r="D886" s="252"/>
      <c r="E886" s="252"/>
      <c r="F886" s="252"/>
      <c r="G886" s="252"/>
      <c r="H886" s="252"/>
      <c r="I886" s="252"/>
      <c r="J886" s="252"/>
      <c r="K886" s="252"/>
      <c r="L886" s="252"/>
      <c r="M886" s="252"/>
      <c r="N886" s="252"/>
      <c r="O886" s="252"/>
      <c r="P886" s="252"/>
      <c r="Q886" s="252"/>
      <c r="R886" s="252"/>
      <c r="S886" s="252"/>
      <c r="T886" s="252"/>
      <c r="U886" s="252"/>
      <c r="V886" s="252"/>
      <c r="W886" s="252"/>
      <c r="X886" s="252"/>
      <c r="Y886" s="252"/>
      <c r="Z886" s="252"/>
      <c r="AA886" s="252"/>
      <c r="AB886" s="252"/>
      <c r="AC886" s="252"/>
    </row>
    <row r="887" spans="1:29" hidden="1" x14ac:dyDescent="0.25">
      <c r="A887" s="252"/>
      <c r="B887" s="252"/>
      <c r="C887" s="252"/>
      <c r="D887" s="252"/>
      <c r="E887" s="252"/>
      <c r="F887" s="252"/>
      <c r="G887" s="252"/>
      <c r="H887" s="252"/>
      <c r="I887" s="252"/>
      <c r="J887" s="252"/>
      <c r="K887" s="252"/>
      <c r="L887" s="252"/>
      <c r="M887" s="252"/>
      <c r="N887" s="252"/>
      <c r="O887" s="252"/>
      <c r="P887" s="252"/>
      <c r="Q887" s="252"/>
      <c r="R887" s="252"/>
      <c r="S887" s="252"/>
      <c r="T887" s="252"/>
      <c r="U887" s="252"/>
      <c r="V887" s="252"/>
      <c r="W887" s="252"/>
      <c r="X887" s="252"/>
      <c r="Y887" s="252"/>
      <c r="Z887" s="252"/>
      <c r="AA887" s="252"/>
      <c r="AB887" s="252"/>
      <c r="AC887" s="252"/>
    </row>
    <row r="888" spans="1:29" hidden="1" x14ac:dyDescent="0.25">
      <c r="A888" s="252"/>
      <c r="B888" s="252"/>
      <c r="C888" s="252"/>
      <c r="D888" s="252"/>
      <c r="E888" s="252"/>
      <c r="F888" s="252"/>
      <c r="G888" s="252"/>
      <c r="H888" s="252"/>
      <c r="I888" s="252"/>
      <c r="J888" s="252"/>
      <c r="K888" s="252"/>
      <c r="L888" s="252"/>
      <c r="M888" s="252"/>
      <c r="N888" s="252"/>
      <c r="O888" s="252"/>
      <c r="P888" s="252"/>
      <c r="Q888" s="252"/>
      <c r="R888" s="252"/>
      <c r="S888" s="252"/>
      <c r="T888" s="252"/>
      <c r="U888" s="252"/>
      <c r="V888" s="252"/>
      <c r="W888" s="252"/>
      <c r="X888" s="252"/>
      <c r="Y888" s="252"/>
      <c r="Z888" s="252"/>
      <c r="AA888" s="252"/>
      <c r="AB888" s="252"/>
      <c r="AC888" s="252"/>
    </row>
    <row r="889" spans="1:29" hidden="1" x14ac:dyDescent="0.25">
      <c r="A889" s="252"/>
      <c r="B889" s="252"/>
      <c r="C889" s="252"/>
      <c r="D889" s="252"/>
      <c r="E889" s="252"/>
      <c r="F889" s="252"/>
      <c r="G889" s="252"/>
      <c r="H889" s="252"/>
      <c r="I889" s="252"/>
      <c r="J889" s="252"/>
      <c r="K889" s="252"/>
      <c r="L889" s="252"/>
      <c r="M889" s="252"/>
      <c r="N889" s="252"/>
      <c r="O889" s="252"/>
      <c r="P889" s="252"/>
      <c r="Q889" s="252"/>
      <c r="R889" s="252"/>
      <c r="S889" s="252"/>
      <c r="T889" s="252"/>
      <c r="U889" s="252"/>
      <c r="V889" s="252"/>
      <c r="W889" s="252"/>
      <c r="X889" s="252"/>
      <c r="Y889" s="252"/>
      <c r="Z889" s="252"/>
      <c r="AA889" s="252"/>
      <c r="AB889" s="252"/>
      <c r="AC889" s="252"/>
    </row>
    <row r="890" spans="1:29" hidden="1" x14ac:dyDescent="0.25">
      <c r="A890" s="252"/>
      <c r="B890" s="252"/>
      <c r="C890" s="252"/>
      <c r="D890" s="252"/>
      <c r="E890" s="252"/>
      <c r="F890" s="252"/>
      <c r="G890" s="252"/>
      <c r="H890" s="252"/>
      <c r="I890" s="252"/>
      <c r="J890" s="252"/>
      <c r="K890" s="252"/>
      <c r="L890" s="252"/>
      <c r="M890" s="252"/>
      <c r="N890" s="252"/>
      <c r="O890" s="252"/>
      <c r="P890" s="252"/>
      <c r="Q890" s="252"/>
      <c r="R890" s="252"/>
      <c r="S890" s="252"/>
      <c r="T890" s="252"/>
      <c r="U890" s="252"/>
      <c r="V890" s="252"/>
      <c r="W890" s="252"/>
      <c r="X890" s="252"/>
      <c r="Y890" s="252"/>
      <c r="Z890" s="252"/>
      <c r="AA890" s="252"/>
      <c r="AB890" s="252"/>
      <c r="AC890" s="252"/>
    </row>
    <row r="891" spans="1:29" hidden="1" x14ac:dyDescent="0.25">
      <c r="A891" s="252"/>
      <c r="B891" s="252"/>
      <c r="C891" s="252"/>
      <c r="D891" s="252"/>
      <c r="E891" s="252"/>
      <c r="F891" s="252"/>
      <c r="G891" s="252"/>
      <c r="H891" s="252"/>
      <c r="I891" s="252"/>
      <c r="J891" s="252"/>
      <c r="K891" s="252"/>
      <c r="L891" s="252"/>
      <c r="M891" s="252"/>
      <c r="N891" s="252"/>
      <c r="O891" s="252"/>
      <c r="P891" s="252"/>
      <c r="Q891" s="252"/>
      <c r="R891" s="252"/>
      <c r="S891" s="252"/>
      <c r="T891" s="252"/>
      <c r="U891" s="252"/>
      <c r="V891" s="252"/>
      <c r="W891" s="252"/>
      <c r="X891" s="252"/>
      <c r="Y891" s="252"/>
      <c r="Z891" s="252"/>
      <c r="AA891" s="252"/>
      <c r="AB891" s="252"/>
      <c r="AC891" s="252"/>
    </row>
    <row r="892" spans="1:29" hidden="1" x14ac:dyDescent="0.25">
      <c r="A892" s="252"/>
      <c r="B892" s="252"/>
      <c r="C892" s="252"/>
      <c r="D892" s="252"/>
      <c r="E892" s="252"/>
      <c r="F892" s="252"/>
      <c r="G892" s="252"/>
      <c r="H892" s="252"/>
      <c r="I892" s="252"/>
      <c r="J892" s="252"/>
      <c r="K892" s="252"/>
      <c r="L892" s="252"/>
      <c r="M892" s="252"/>
      <c r="N892" s="252"/>
      <c r="O892" s="252"/>
      <c r="P892" s="252"/>
      <c r="Q892" s="252"/>
      <c r="R892" s="252"/>
      <c r="S892" s="252"/>
      <c r="T892" s="252"/>
      <c r="U892" s="252"/>
      <c r="V892" s="252"/>
      <c r="W892" s="252"/>
      <c r="X892" s="252"/>
      <c r="Y892" s="252"/>
      <c r="Z892" s="252"/>
      <c r="AA892" s="252"/>
      <c r="AB892" s="252"/>
      <c r="AC892" s="252"/>
    </row>
    <row r="893" spans="1:29" hidden="1" x14ac:dyDescent="0.25">
      <c r="A893" s="252"/>
      <c r="B893" s="252"/>
      <c r="C893" s="252"/>
      <c r="D893" s="252"/>
      <c r="E893" s="252"/>
      <c r="F893" s="252"/>
      <c r="G893" s="252"/>
      <c r="H893" s="252"/>
      <c r="I893" s="252"/>
      <c r="J893" s="252"/>
      <c r="K893" s="252"/>
      <c r="L893" s="252"/>
      <c r="M893" s="252"/>
      <c r="N893" s="252"/>
      <c r="O893" s="252"/>
      <c r="P893" s="252"/>
      <c r="Q893" s="252"/>
      <c r="R893" s="252"/>
      <c r="S893" s="252"/>
      <c r="T893" s="252"/>
      <c r="U893" s="252"/>
      <c r="V893" s="252"/>
      <c r="W893" s="252"/>
      <c r="X893" s="252"/>
      <c r="Y893" s="252"/>
      <c r="Z893" s="252"/>
      <c r="AA893" s="252"/>
      <c r="AB893" s="252"/>
      <c r="AC893" s="252"/>
    </row>
    <row r="894" spans="1:29" hidden="1" x14ac:dyDescent="0.25">
      <c r="A894" s="252"/>
      <c r="B894" s="252"/>
      <c r="C894" s="252"/>
      <c r="D894" s="252"/>
      <c r="E894" s="252"/>
      <c r="F894" s="252"/>
      <c r="G894" s="252"/>
      <c r="H894" s="252"/>
      <c r="I894" s="252"/>
      <c r="J894" s="252"/>
      <c r="K894" s="252"/>
      <c r="L894" s="252"/>
      <c r="M894" s="252"/>
      <c r="N894" s="252"/>
      <c r="O894" s="252"/>
      <c r="P894" s="252"/>
      <c r="Q894" s="252"/>
      <c r="R894" s="252"/>
      <c r="S894" s="252"/>
      <c r="T894" s="252"/>
      <c r="U894" s="252"/>
      <c r="V894" s="252"/>
      <c r="W894" s="252"/>
      <c r="X894" s="252"/>
      <c r="Y894" s="252"/>
      <c r="Z894" s="252"/>
      <c r="AA894" s="252"/>
      <c r="AB894" s="252"/>
      <c r="AC894" s="252"/>
    </row>
    <row r="895" spans="1:29" hidden="1" x14ac:dyDescent="0.25">
      <c r="A895" s="252"/>
      <c r="B895" s="252"/>
      <c r="C895" s="252"/>
      <c r="D895" s="252"/>
      <c r="E895" s="252"/>
      <c r="F895" s="252"/>
      <c r="G895" s="252"/>
      <c r="H895" s="252"/>
      <c r="I895" s="252"/>
      <c r="J895" s="252"/>
      <c r="K895" s="252"/>
      <c r="L895" s="252"/>
      <c r="M895" s="252"/>
      <c r="N895" s="252"/>
      <c r="O895" s="252"/>
      <c r="P895" s="252"/>
      <c r="Q895" s="252"/>
      <c r="R895" s="252"/>
      <c r="S895" s="252"/>
      <c r="T895" s="252"/>
      <c r="U895" s="252"/>
      <c r="V895" s="252"/>
      <c r="W895" s="252"/>
      <c r="X895" s="252"/>
      <c r="Y895" s="252"/>
      <c r="Z895" s="252"/>
      <c r="AA895" s="252"/>
      <c r="AB895" s="252"/>
      <c r="AC895" s="252"/>
    </row>
    <row r="896" spans="1:29" hidden="1" x14ac:dyDescent="0.25">
      <c r="A896" s="252"/>
      <c r="B896" s="252"/>
      <c r="C896" s="252"/>
      <c r="D896" s="252"/>
      <c r="E896" s="252"/>
      <c r="F896" s="252"/>
      <c r="G896" s="252"/>
      <c r="H896" s="252"/>
      <c r="I896" s="252"/>
      <c r="J896" s="252"/>
      <c r="K896" s="252"/>
      <c r="L896" s="252"/>
      <c r="M896" s="252"/>
      <c r="N896" s="252"/>
      <c r="O896" s="252"/>
      <c r="P896" s="252"/>
      <c r="Q896" s="252"/>
      <c r="R896" s="252"/>
      <c r="S896" s="252"/>
      <c r="T896" s="252"/>
      <c r="U896" s="252"/>
      <c r="V896" s="252"/>
      <c r="W896" s="252"/>
      <c r="X896" s="252"/>
      <c r="Y896" s="252"/>
      <c r="Z896" s="252"/>
      <c r="AA896" s="252"/>
      <c r="AB896" s="252"/>
      <c r="AC896" s="252"/>
    </row>
    <row r="897" spans="1:29" hidden="1" x14ac:dyDescent="0.25">
      <c r="A897" s="252"/>
      <c r="B897" s="252"/>
      <c r="C897" s="252"/>
      <c r="D897" s="252"/>
      <c r="E897" s="252"/>
      <c r="F897" s="252"/>
      <c r="G897" s="252"/>
      <c r="H897" s="252"/>
      <c r="I897" s="252"/>
      <c r="J897" s="252"/>
      <c r="K897" s="252"/>
      <c r="L897" s="252"/>
      <c r="M897" s="252"/>
      <c r="N897" s="252"/>
      <c r="O897" s="252"/>
      <c r="P897" s="252"/>
      <c r="Q897" s="252"/>
      <c r="R897" s="252"/>
      <c r="S897" s="252"/>
      <c r="T897" s="252"/>
      <c r="U897" s="252"/>
      <c r="V897" s="252"/>
      <c r="W897" s="252"/>
      <c r="X897" s="252"/>
      <c r="Y897" s="252"/>
      <c r="Z897" s="252"/>
      <c r="AA897" s="252"/>
      <c r="AB897" s="252"/>
      <c r="AC897" s="252"/>
    </row>
    <row r="898" spans="1:29" hidden="1" x14ac:dyDescent="0.25">
      <c r="A898" s="252"/>
      <c r="B898" s="252"/>
      <c r="C898" s="252"/>
      <c r="D898" s="252"/>
      <c r="E898" s="252"/>
      <c r="F898" s="252"/>
      <c r="G898" s="252"/>
      <c r="H898" s="252"/>
      <c r="I898" s="252"/>
      <c r="J898" s="252"/>
      <c r="K898" s="252"/>
      <c r="L898" s="252"/>
      <c r="M898" s="252"/>
      <c r="N898" s="252"/>
      <c r="O898" s="252"/>
      <c r="P898" s="252"/>
      <c r="Q898" s="252"/>
      <c r="R898" s="252"/>
      <c r="S898" s="252"/>
      <c r="T898" s="252"/>
      <c r="U898" s="252"/>
      <c r="V898" s="252"/>
      <c r="W898" s="252"/>
      <c r="X898" s="252"/>
      <c r="Y898" s="252"/>
      <c r="Z898" s="252"/>
      <c r="AA898" s="252"/>
      <c r="AB898" s="252"/>
      <c r="AC898" s="252"/>
    </row>
    <row r="899" spans="1:29" hidden="1" x14ac:dyDescent="0.25">
      <c r="A899" s="252"/>
      <c r="B899" s="252"/>
      <c r="C899" s="252"/>
      <c r="D899" s="252"/>
      <c r="E899" s="252"/>
      <c r="F899" s="252"/>
      <c r="G899" s="252"/>
      <c r="H899" s="252"/>
      <c r="I899" s="252"/>
      <c r="J899" s="252"/>
      <c r="K899" s="252"/>
      <c r="L899" s="252"/>
      <c r="M899" s="252"/>
      <c r="N899" s="252"/>
      <c r="O899" s="252"/>
      <c r="P899" s="252"/>
      <c r="Q899" s="252"/>
      <c r="R899" s="252"/>
      <c r="S899" s="252"/>
      <c r="T899" s="252"/>
      <c r="U899" s="252"/>
      <c r="V899" s="252"/>
      <c r="W899" s="252"/>
      <c r="X899" s="252"/>
      <c r="Y899" s="252"/>
      <c r="Z899" s="252"/>
      <c r="AA899" s="252"/>
      <c r="AB899" s="252"/>
      <c r="AC899" s="252"/>
    </row>
    <row r="900" spans="1:29" hidden="1" x14ac:dyDescent="0.25">
      <c r="A900" s="252"/>
      <c r="B900" s="252"/>
      <c r="C900" s="252"/>
      <c r="D900" s="252"/>
      <c r="E900" s="252"/>
      <c r="F900" s="252"/>
      <c r="G900" s="252"/>
      <c r="H900" s="252"/>
      <c r="I900" s="252"/>
      <c r="J900" s="252"/>
      <c r="K900" s="252"/>
      <c r="L900" s="252"/>
      <c r="M900" s="252"/>
      <c r="N900" s="252"/>
      <c r="O900" s="252"/>
      <c r="P900" s="252"/>
      <c r="Q900" s="252"/>
      <c r="R900" s="252"/>
      <c r="S900" s="252"/>
      <c r="T900" s="252"/>
      <c r="U900" s="252"/>
      <c r="V900" s="252"/>
      <c r="W900" s="252"/>
      <c r="X900" s="252"/>
      <c r="Y900" s="252"/>
      <c r="Z900" s="252"/>
      <c r="AA900" s="252"/>
      <c r="AB900" s="252"/>
      <c r="AC900" s="252"/>
    </row>
    <row r="901" spans="1:29" hidden="1" x14ac:dyDescent="0.25">
      <c r="A901" s="252"/>
      <c r="B901" s="252"/>
      <c r="C901" s="252"/>
      <c r="D901" s="252"/>
      <c r="E901" s="252"/>
      <c r="F901" s="252"/>
      <c r="G901" s="252"/>
      <c r="H901" s="252"/>
      <c r="I901" s="252"/>
      <c r="J901" s="252"/>
      <c r="K901" s="252"/>
      <c r="L901" s="252"/>
      <c r="M901" s="252"/>
      <c r="N901" s="252"/>
      <c r="O901" s="252"/>
      <c r="P901" s="252"/>
      <c r="Q901" s="252"/>
      <c r="R901" s="252"/>
      <c r="S901" s="252"/>
      <c r="T901" s="252"/>
      <c r="U901" s="252"/>
      <c r="V901" s="252"/>
      <c r="W901" s="252"/>
      <c r="X901" s="252"/>
      <c r="Y901" s="252"/>
      <c r="Z901" s="252"/>
      <c r="AA901" s="252"/>
      <c r="AB901" s="252"/>
      <c r="AC901" s="252"/>
    </row>
    <row r="902" spans="1:29" hidden="1" x14ac:dyDescent="0.25">
      <c r="A902" s="252"/>
      <c r="B902" s="252"/>
      <c r="C902" s="252"/>
      <c r="D902" s="252"/>
      <c r="E902" s="252"/>
      <c r="F902" s="252"/>
      <c r="G902" s="252"/>
      <c r="H902" s="252"/>
      <c r="I902" s="252"/>
      <c r="J902" s="252"/>
      <c r="K902" s="252"/>
      <c r="L902" s="252"/>
      <c r="M902" s="252"/>
      <c r="N902" s="252"/>
      <c r="O902" s="252"/>
      <c r="P902" s="252"/>
      <c r="Q902" s="252"/>
      <c r="R902" s="252"/>
      <c r="S902" s="252"/>
      <c r="T902" s="252"/>
      <c r="U902" s="252"/>
      <c r="V902" s="252"/>
      <c r="W902" s="252"/>
      <c r="X902" s="252"/>
      <c r="Y902" s="252"/>
      <c r="Z902" s="252"/>
      <c r="AA902" s="252"/>
      <c r="AB902" s="252"/>
      <c r="AC902" s="252"/>
    </row>
    <row r="903" spans="1:29" hidden="1" x14ac:dyDescent="0.25">
      <c r="A903" s="252"/>
      <c r="B903" s="252"/>
      <c r="C903" s="252"/>
      <c r="D903" s="252"/>
      <c r="E903" s="252"/>
      <c r="F903" s="252"/>
      <c r="G903" s="252"/>
      <c r="H903" s="252"/>
      <c r="I903" s="252"/>
      <c r="J903" s="252"/>
      <c r="K903" s="252"/>
      <c r="L903" s="252"/>
      <c r="M903" s="252"/>
      <c r="N903" s="252"/>
      <c r="O903" s="252"/>
      <c r="P903" s="252"/>
      <c r="Q903" s="252"/>
      <c r="R903" s="252"/>
      <c r="S903" s="252"/>
      <c r="T903" s="252"/>
      <c r="U903" s="252"/>
      <c r="V903" s="252"/>
      <c r="W903" s="252"/>
      <c r="X903" s="252"/>
      <c r="Y903" s="252"/>
      <c r="Z903" s="252"/>
      <c r="AA903" s="252"/>
      <c r="AB903" s="252"/>
      <c r="AC903" s="252"/>
    </row>
    <row r="904" spans="1:29" hidden="1" x14ac:dyDescent="0.25">
      <c r="A904" s="252"/>
      <c r="B904" s="252"/>
      <c r="C904" s="252"/>
      <c r="D904" s="252"/>
      <c r="E904" s="252"/>
      <c r="F904" s="252"/>
      <c r="G904" s="252"/>
      <c r="H904" s="252"/>
      <c r="I904" s="252"/>
      <c r="J904" s="252"/>
      <c r="K904" s="252"/>
      <c r="L904" s="252"/>
      <c r="M904" s="252"/>
      <c r="N904" s="252"/>
      <c r="O904" s="252"/>
      <c r="P904" s="252"/>
      <c r="Q904" s="252"/>
      <c r="R904" s="252"/>
      <c r="S904" s="252"/>
      <c r="T904" s="252"/>
      <c r="U904" s="252"/>
      <c r="V904" s="252"/>
      <c r="W904" s="252"/>
      <c r="X904" s="252"/>
      <c r="Y904" s="252"/>
      <c r="Z904" s="252"/>
      <c r="AA904" s="252"/>
      <c r="AB904" s="252"/>
      <c r="AC904" s="252"/>
    </row>
    <row r="905" spans="1:29" hidden="1" x14ac:dyDescent="0.25">
      <c r="A905" s="252"/>
      <c r="B905" s="252"/>
      <c r="C905" s="252"/>
      <c r="D905" s="252"/>
      <c r="E905" s="252"/>
      <c r="F905" s="252"/>
      <c r="G905" s="252"/>
      <c r="H905" s="252"/>
      <c r="I905" s="252"/>
      <c r="J905" s="252"/>
      <c r="K905" s="252"/>
      <c r="L905" s="252"/>
      <c r="M905" s="252"/>
      <c r="N905" s="252"/>
      <c r="O905" s="252"/>
      <c r="P905" s="252"/>
      <c r="Q905" s="252"/>
      <c r="R905" s="252"/>
      <c r="S905" s="252"/>
      <c r="T905" s="252"/>
      <c r="U905" s="252"/>
      <c r="V905" s="252"/>
      <c r="W905" s="252"/>
      <c r="X905" s="252"/>
      <c r="Y905" s="252"/>
      <c r="Z905" s="252"/>
      <c r="AA905" s="252"/>
      <c r="AB905" s="252"/>
      <c r="AC905" s="252"/>
    </row>
    <row r="906" spans="1:29" hidden="1" x14ac:dyDescent="0.25">
      <c r="A906" s="252"/>
      <c r="B906" s="252"/>
      <c r="C906" s="252"/>
      <c r="D906" s="252"/>
      <c r="E906" s="252"/>
      <c r="F906" s="252"/>
      <c r="G906" s="252"/>
      <c r="H906" s="252"/>
      <c r="I906" s="252"/>
      <c r="J906" s="252"/>
      <c r="K906" s="252"/>
      <c r="L906" s="252"/>
      <c r="M906" s="252"/>
      <c r="N906" s="252"/>
      <c r="O906" s="252"/>
      <c r="P906" s="252"/>
      <c r="Q906" s="252"/>
      <c r="R906" s="252"/>
      <c r="S906" s="252"/>
      <c r="T906" s="252"/>
      <c r="U906" s="252"/>
      <c r="V906" s="252"/>
      <c r="W906" s="252"/>
      <c r="X906" s="252"/>
      <c r="Y906" s="252"/>
      <c r="Z906" s="252"/>
      <c r="AA906" s="252"/>
      <c r="AB906" s="252"/>
      <c r="AC906" s="252"/>
    </row>
    <row r="907" spans="1:29" hidden="1" x14ac:dyDescent="0.25">
      <c r="A907" s="252"/>
      <c r="B907" s="252"/>
      <c r="C907" s="252"/>
      <c r="D907" s="252"/>
      <c r="E907" s="252"/>
      <c r="F907" s="252"/>
      <c r="G907" s="252"/>
      <c r="H907" s="252"/>
      <c r="I907" s="252"/>
      <c r="J907" s="252"/>
      <c r="K907" s="252"/>
      <c r="L907" s="252"/>
      <c r="M907" s="252"/>
      <c r="N907" s="252"/>
      <c r="O907" s="252"/>
      <c r="P907" s="252"/>
      <c r="Q907" s="252"/>
      <c r="R907" s="252"/>
      <c r="S907" s="252"/>
      <c r="T907" s="252"/>
      <c r="U907" s="252"/>
      <c r="V907" s="252"/>
      <c r="W907" s="252"/>
      <c r="X907" s="252"/>
      <c r="Y907" s="252"/>
      <c r="Z907" s="252"/>
      <c r="AA907" s="252"/>
      <c r="AB907" s="252"/>
      <c r="AC907" s="252"/>
    </row>
    <row r="908" spans="1:29" hidden="1" x14ac:dyDescent="0.25">
      <c r="A908" s="252"/>
      <c r="B908" s="252"/>
      <c r="C908" s="252"/>
      <c r="D908" s="252"/>
      <c r="E908" s="252"/>
      <c r="F908" s="252"/>
      <c r="G908" s="252"/>
      <c r="H908" s="252"/>
      <c r="I908" s="252"/>
      <c r="J908" s="252"/>
      <c r="K908" s="252"/>
      <c r="L908" s="252"/>
      <c r="M908" s="252"/>
      <c r="N908" s="252"/>
      <c r="O908" s="252"/>
      <c r="P908" s="252"/>
      <c r="Q908" s="252"/>
      <c r="R908" s="252"/>
      <c r="S908" s="252"/>
      <c r="T908" s="252"/>
      <c r="U908" s="252"/>
      <c r="V908" s="252"/>
      <c r="W908" s="252"/>
      <c r="X908" s="252"/>
      <c r="Y908" s="252"/>
      <c r="Z908" s="252"/>
      <c r="AA908" s="252"/>
      <c r="AB908" s="252"/>
      <c r="AC908" s="252"/>
    </row>
    <row r="909" spans="1:29" hidden="1" x14ac:dyDescent="0.25">
      <c r="A909" s="252"/>
      <c r="B909" s="252"/>
      <c r="C909" s="252"/>
      <c r="D909" s="252"/>
      <c r="E909" s="252"/>
      <c r="F909" s="252"/>
      <c r="G909" s="252"/>
      <c r="H909" s="252"/>
      <c r="I909" s="252"/>
      <c r="J909" s="252"/>
      <c r="K909" s="252"/>
      <c r="L909" s="252"/>
      <c r="M909" s="252"/>
      <c r="N909" s="252"/>
      <c r="O909" s="252"/>
      <c r="P909" s="252"/>
      <c r="Q909" s="252"/>
      <c r="R909" s="252"/>
      <c r="S909" s="252"/>
      <c r="T909" s="252"/>
      <c r="U909" s="252"/>
      <c r="V909" s="252"/>
      <c r="W909" s="252"/>
      <c r="X909" s="252"/>
      <c r="Y909" s="252"/>
      <c r="Z909" s="252"/>
      <c r="AA909" s="252"/>
      <c r="AB909" s="252"/>
      <c r="AC909" s="252"/>
    </row>
    <row r="910" spans="1:29" hidden="1" x14ac:dyDescent="0.25">
      <c r="A910" s="252"/>
      <c r="B910" s="252"/>
      <c r="C910" s="252"/>
      <c r="D910" s="252"/>
      <c r="E910" s="252"/>
      <c r="F910" s="252"/>
      <c r="G910" s="252"/>
      <c r="H910" s="252"/>
      <c r="I910" s="252"/>
      <c r="J910" s="252"/>
      <c r="K910" s="252"/>
      <c r="L910" s="252"/>
      <c r="M910" s="252"/>
      <c r="N910" s="252"/>
      <c r="O910" s="252"/>
      <c r="P910" s="252"/>
      <c r="Q910" s="252"/>
      <c r="R910" s="252"/>
      <c r="S910" s="252"/>
      <c r="T910" s="252"/>
      <c r="U910" s="252"/>
      <c r="V910" s="252"/>
      <c r="W910" s="252"/>
      <c r="X910" s="252"/>
      <c r="Y910" s="252"/>
      <c r="Z910" s="252"/>
      <c r="AA910" s="252"/>
      <c r="AB910" s="252"/>
      <c r="AC910" s="252"/>
    </row>
    <row r="911" spans="1:29" hidden="1" x14ac:dyDescent="0.25">
      <c r="A911" s="252"/>
      <c r="B911" s="252"/>
      <c r="C911" s="252"/>
      <c r="D911" s="252"/>
      <c r="E911" s="252"/>
      <c r="F911" s="252"/>
      <c r="G911" s="252"/>
      <c r="H911" s="252"/>
      <c r="I911" s="252"/>
      <c r="J911" s="252"/>
      <c r="K911" s="252"/>
      <c r="L911" s="252"/>
      <c r="M911" s="252"/>
      <c r="N911" s="252"/>
      <c r="O911" s="252"/>
      <c r="P911" s="252"/>
      <c r="Q911" s="252"/>
      <c r="R911" s="252"/>
      <c r="S911" s="252"/>
      <c r="T911" s="252"/>
      <c r="U911" s="252"/>
      <c r="V911" s="252"/>
      <c r="W911" s="252"/>
      <c r="X911" s="252"/>
      <c r="Y911" s="252"/>
      <c r="Z911" s="252"/>
      <c r="AA911" s="252"/>
      <c r="AB911" s="252"/>
      <c r="AC911" s="252"/>
    </row>
    <row r="912" spans="1:29" hidden="1" x14ac:dyDescent="0.25">
      <c r="A912" s="252"/>
      <c r="B912" s="252"/>
      <c r="C912" s="252"/>
      <c r="D912" s="252"/>
      <c r="E912" s="252"/>
      <c r="F912" s="252"/>
      <c r="G912" s="252"/>
      <c r="H912" s="252"/>
      <c r="I912" s="252"/>
      <c r="J912" s="252"/>
      <c r="K912" s="252"/>
      <c r="L912" s="252"/>
      <c r="M912" s="252"/>
      <c r="N912" s="252"/>
      <c r="O912" s="252"/>
      <c r="P912" s="252"/>
      <c r="Q912" s="252"/>
      <c r="R912" s="252"/>
      <c r="S912" s="252"/>
      <c r="T912" s="252"/>
      <c r="U912" s="252"/>
      <c r="V912" s="252"/>
      <c r="W912" s="252"/>
      <c r="X912" s="252"/>
      <c r="Y912" s="252"/>
      <c r="Z912" s="252"/>
      <c r="AA912" s="252"/>
      <c r="AB912" s="252"/>
      <c r="AC912" s="252"/>
    </row>
    <row r="913" spans="1:29" hidden="1" x14ac:dyDescent="0.25">
      <c r="A913" s="252"/>
      <c r="B913" s="252"/>
      <c r="C913" s="252"/>
      <c r="D913" s="252"/>
      <c r="E913" s="252"/>
      <c r="F913" s="252"/>
      <c r="G913" s="252"/>
      <c r="H913" s="252"/>
      <c r="I913" s="252"/>
      <c r="J913" s="252"/>
      <c r="K913" s="252"/>
      <c r="L913" s="252"/>
      <c r="M913" s="252"/>
      <c r="N913" s="252"/>
      <c r="O913" s="252"/>
      <c r="P913" s="252"/>
      <c r="Q913" s="252"/>
      <c r="R913" s="252"/>
      <c r="S913" s="252"/>
      <c r="T913" s="252"/>
      <c r="U913" s="252"/>
      <c r="V913" s="252"/>
      <c r="W913" s="252"/>
      <c r="X913" s="252"/>
      <c r="Y913" s="252"/>
      <c r="Z913" s="252"/>
      <c r="AA913" s="252"/>
      <c r="AB913" s="252"/>
      <c r="AC913" s="252"/>
    </row>
    <row r="914" spans="1:29" hidden="1" x14ac:dyDescent="0.25">
      <c r="A914" s="252"/>
      <c r="B914" s="252"/>
      <c r="C914" s="252"/>
      <c r="D914" s="252"/>
      <c r="E914" s="252"/>
      <c r="F914" s="252"/>
      <c r="G914" s="252"/>
      <c r="H914" s="252"/>
      <c r="I914" s="252"/>
      <c r="J914" s="252"/>
      <c r="K914" s="252"/>
      <c r="L914" s="252"/>
      <c r="M914" s="252"/>
      <c r="N914" s="252"/>
      <c r="O914" s="252"/>
      <c r="P914" s="252"/>
      <c r="Q914" s="252"/>
      <c r="R914" s="252"/>
      <c r="S914" s="252"/>
      <c r="T914" s="252"/>
      <c r="U914" s="252"/>
      <c r="V914" s="252"/>
      <c r="W914" s="252"/>
      <c r="X914" s="252"/>
      <c r="Y914" s="252"/>
      <c r="Z914" s="252"/>
      <c r="AA914" s="252"/>
      <c r="AB914" s="252"/>
      <c r="AC914" s="252"/>
    </row>
    <row r="915" spans="1:29" hidden="1" x14ac:dyDescent="0.25">
      <c r="A915" s="252"/>
      <c r="B915" s="252"/>
      <c r="C915" s="252"/>
      <c r="D915" s="252"/>
      <c r="E915" s="252"/>
      <c r="F915" s="252"/>
      <c r="G915" s="252"/>
      <c r="H915" s="252"/>
      <c r="I915" s="252"/>
      <c r="J915" s="252"/>
      <c r="K915" s="252"/>
      <c r="L915" s="252"/>
      <c r="M915" s="252"/>
      <c r="N915" s="252"/>
      <c r="O915" s="252"/>
      <c r="P915" s="252"/>
      <c r="Q915" s="252"/>
      <c r="R915" s="252"/>
      <c r="S915" s="252"/>
      <c r="T915" s="252"/>
      <c r="U915" s="252"/>
      <c r="V915" s="252"/>
      <c r="W915" s="252"/>
      <c r="X915" s="252"/>
      <c r="Y915" s="252"/>
      <c r="Z915" s="252"/>
      <c r="AA915" s="252"/>
      <c r="AB915" s="252"/>
      <c r="AC915" s="252"/>
    </row>
    <row r="916" spans="1:29" hidden="1" x14ac:dyDescent="0.25">
      <c r="A916" s="252"/>
      <c r="B916" s="252"/>
      <c r="C916" s="252"/>
      <c r="D916" s="252"/>
      <c r="E916" s="252"/>
      <c r="F916" s="252"/>
      <c r="G916" s="252"/>
      <c r="H916" s="252"/>
      <c r="I916" s="252"/>
      <c r="J916" s="252"/>
      <c r="K916" s="252"/>
      <c r="L916" s="252"/>
      <c r="M916" s="252"/>
      <c r="N916" s="252"/>
      <c r="O916" s="252"/>
      <c r="P916" s="252"/>
      <c r="Q916" s="252"/>
      <c r="R916" s="252"/>
      <c r="S916" s="252"/>
      <c r="T916" s="252"/>
      <c r="U916" s="252"/>
      <c r="V916" s="252"/>
      <c r="W916" s="252"/>
      <c r="X916" s="252"/>
      <c r="Y916" s="252"/>
      <c r="Z916" s="252"/>
      <c r="AA916" s="252"/>
      <c r="AB916" s="252"/>
      <c r="AC916" s="252"/>
    </row>
    <row r="917" spans="1:29" hidden="1" x14ac:dyDescent="0.25">
      <c r="A917" s="252"/>
      <c r="B917" s="252"/>
      <c r="C917" s="252"/>
      <c r="D917" s="252"/>
      <c r="E917" s="252"/>
      <c r="F917" s="252"/>
      <c r="G917" s="252"/>
      <c r="H917" s="252"/>
      <c r="I917" s="252"/>
      <c r="J917" s="252"/>
      <c r="K917" s="252"/>
      <c r="L917" s="252"/>
      <c r="M917" s="252"/>
      <c r="N917" s="252"/>
      <c r="O917" s="252"/>
      <c r="P917" s="252"/>
      <c r="Q917" s="252"/>
      <c r="R917" s="252"/>
      <c r="S917" s="252"/>
      <c r="T917" s="252"/>
      <c r="U917" s="252"/>
      <c r="V917" s="252"/>
      <c r="W917" s="252"/>
      <c r="X917" s="252"/>
      <c r="Y917" s="252"/>
      <c r="Z917" s="252"/>
      <c r="AA917" s="252"/>
      <c r="AB917" s="252"/>
      <c r="AC917" s="252"/>
    </row>
    <row r="918" spans="1:29" hidden="1" x14ac:dyDescent="0.25">
      <c r="A918" s="252"/>
      <c r="B918" s="252"/>
      <c r="C918" s="252"/>
      <c r="D918" s="252"/>
      <c r="E918" s="252"/>
      <c r="F918" s="252"/>
      <c r="G918" s="252"/>
      <c r="H918" s="252"/>
      <c r="I918" s="252"/>
      <c r="J918" s="252"/>
      <c r="K918" s="252"/>
      <c r="L918" s="252"/>
      <c r="M918" s="252"/>
      <c r="N918" s="252"/>
      <c r="O918" s="252"/>
      <c r="P918" s="252"/>
      <c r="Q918" s="252"/>
      <c r="R918" s="252"/>
      <c r="S918" s="252"/>
      <c r="T918" s="252"/>
      <c r="U918" s="252"/>
      <c r="V918" s="252"/>
      <c r="W918" s="252"/>
      <c r="X918" s="252"/>
      <c r="Y918" s="252"/>
      <c r="Z918" s="252"/>
      <c r="AA918" s="252"/>
      <c r="AB918" s="252"/>
      <c r="AC918" s="252"/>
    </row>
    <row r="919" spans="1:29" hidden="1" x14ac:dyDescent="0.25">
      <c r="A919" s="252"/>
      <c r="B919" s="252"/>
      <c r="C919" s="252"/>
      <c r="D919" s="252"/>
      <c r="E919" s="252"/>
      <c r="F919" s="252"/>
      <c r="G919" s="252"/>
      <c r="H919" s="252"/>
      <c r="I919" s="252"/>
      <c r="J919" s="252"/>
      <c r="K919" s="252"/>
      <c r="L919" s="252"/>
      <c r="M919" s="252"/>
      <c r="N919" s="252"/>
      <c r="O919" s="252"/>
      <c r="P919" s="252"/>
      <c r="Q919" s="252"/>
      <c r="R919" s="252"/>
      <c r="S919" s="252"/>
      <c r="T919" s="252"/>
      <c r="U919" s="252"/>
      <c r="V919" s="252"/>
      <c r="W919" s="252"/>
      <c r="X919" s="252"/>
      <c r="Y919" s="252"/>
      <c r="Z919" s="252"/>
      <c r="AA919" s="252"/>
      <c r="AB919" s="252"/>
      <c r="AC919" s="252"/>
    </row>
    <row r="920" spans="1:29" hidden="1" x14ac:dyDescent="0.25">
      <c r="A920" s="252"/>
      <c r="B920" s="252"/>
      <c r="C920" s="252"/>
      <c r="D920" s="252"/>
      <c r="E920" s="252"/>
      <c r="F920" s="252"/>
      <c r="G920" s="252"/>
      <c r="H920" s="252"/>
      <c r="I920" s="252"/>
      <c r="J920" s="252"/>
      <c r="K920" s="252"/>
      <c r="L920" s="252"/>
      <c r="M920" s="252"/>
      <c r="N920" s="252"/>
      <c r="O920" s="252"/>
      <c r="P920" s="252"/>
      <c r="Q920" s="252"/>
      <c r="R920" s="252"/>
      <c r="S920" s="252"/>
      <c r="T920" s="252"/>
      <c r="U920" s="252"/>
      <c r="V920" s="252"/>
      <c r="W920" s="252"/>
      <c r="X920" s="252"/>
      <c r="Y920" s="252"/>
      <c r="Z920" s="252"/>
      <c r="AA920" s="252"/>
      <c r="AB920" s="252"/>
      <c r="AC920" s="252"/>
    </row>
    <row r="921" spans="1:29" hidden="1" x14ac:dyDescent="0.25">
      <c r="A921" s="252"/>
      <c r="B921" s="252"/>
      <c r="C921" s="252"/>
      <c r="D921" s="252"/>
      <c r="E921" s="252"/>
      <c r="F921" s="252"/>
      <c r="G921" s="252"/>
      <c r="H921" s="252"/>
      <c r="I921" s="252"/>
      <c r="J921" s="252"/>
      <c r="K921" s="252"/>
      <c r="L921" s="252"/>
      <c r="M921" s="252"/>
      <c r="N921" s="252"/>
      <c r="O921" s="252"/>
      <c r="P921" s="252"/>
      <c r="Q921" s="252"/>
      <c r="R921" s="252"/>
      <c r="S921" s="252"/>
      <c r="T921" s="252"/>
      <c r="U921" s="252"/>
      <c r="V921" s="252"/>
      <c r="W921" s="252"/>
      <c r="X921" s="252"/>
      <c r="Y921" s="252"/>
      <c r="Z921" s="252"/>
      <c r="AA921" s="252"/>
      <c r="AB921" s="252"/>
      <c r="AC921" s="252"/>
    </row>
    <row r="922" spans="1:29" hidden="1" x14ac:dyDescent="0.25">
      <c r="A922" s="252"/>
      <c r="B922" s="252"/>
      <c r="C922" s="252"/>
      <c r="D922" s="252"/>
      <c r="E922" s="252"/>
      <c r="F922" s="252"/>
      <c r="G922" s="252"/>
      <c r="H922" s="252"/>
      <c r="I922" s="252"/>
      <c r="J922" s="252"/>
      <c r="K922" s="252"/>
      <c r="L922" s="252"/>
      <c r="M922" s="252"/>
      <c r="N922" s="252"/>
      <c r="O922" s="252"/>
      <c r="P922" s="252"/>
      <c r="Q922" s="252"/>
      <c r="R922" s="252"/>
      <c r="S922" s="252"/>
      <c r="T922" s="252"/>
      <c r="U922" s="252"/>
      <c r="V922" s="252"/>
      <c r="W922" s="252"/>
      <c r="X922" s="252"/>
      <c r="Y922" s="252"/>
      <c r="Z922" s="252"/>
      <c r="AA922" s="252"/>
      <c r="AB922" s="252"/>
      <c r="AC922" s="252"/>
    </row>
    <row r="923" spans="1:29" hidden="1" x14ac:dyDescent="0.25">
      <c r="A923" s="252"/>
      <c r="B923" s="252"/>
      <c r="C923" s="252"/>
      <c r="D923" s="252"/>
      <c r="E923" s="252"/>
      <c r="F923" s="252"/>
      <c r="G923" s="252"/>
      <c r="H923" s="252"/>
      <c r="I923" s="252"/>
      <c r="J923" s="252"/>
      <c r="K923" s="252"/>
      <c r="L923" s="252"/>
      <c r="M923" s="252"/>
      <c r="N923" s="252"/>
      <c r="O923" s="252"/>
      <c r="P923" s="252"/>
      <c r="Q923" s="252"/>
      <c r="R923" s="252"/>
      <c r="S923" s="252"/>
      <c r="T923" s="252"/>
      <c r="U923" s="252"/>
      <c r="V923" s="252"/>
      <c r="W923" s="252"/>
      <c r="X923" s="252"/>
      <c r="Y923" s="252"/>
      <c r="Z923" s="252"/>
      <c r="AA923" s="252"/>
      <c r="AB923" s="252"/>
      <c r="AC923" s="252"/>
    </row>
    <row r="924" spans="1:29" hidden="1" x14ac:dyDescent="0.25">
      <c r="A924" s="252"/>
      <c r="B924" s="252"/>
      <c r="C924" s="252"/>
      <c r="D924" s="252"/>
      <c r="E924" s="252"/>
      <c r="F924" s="252"/>
      <c r="G924" s="252"/>
      <c r="H924" s="252"/>
      <c r="I924" s="252"/>
      <c r="J924" s="252"/>
      <c r="K924" s="252"/>
      <c r="L924" s="252"/>
      <c r="M924" s="252"/>
      <c r="N924" s="252"/>
      <c r="O924" s="252"/>
      <c r="P924" s="252"/>
      <c r="Q924" s="252"/>
      <c r="R924" s="252"/>
      <c r="S924" s="252"/>
      <c r="T924" s="252"/>
      <c r="U924" s="252"/>
      <c r="V924" s="252"/>
      <c r="W924" s="252"/>
      <c r="X924" s="252"/>
      <c r="Y924" s="252"/>
      <c r="Z924" s="252"/>
      <c r="AA924" s="252"/>
      <c r="AB924" s="252"/>
      <c r="AC924" s="252"/>
    </row>
    <row r="925" spans="1:29" hidden="1" x14ac:dyDescent="0.25">
      <c r="A925" s="252"/>
      <c r="B925" s="252"/>
      <c r="C925" s="252"/>
      <c r="D925" s="252"/>
      <c r="E925" s="252"/>
      <c r="F925" s="252"/>
      <c r="G925" s="252"/>
      <c r="H925" s="252"/>
      <c r="I925" s="252"/>
      <c r="J925" s="252"/>
      <c r="K925" s="252"/>
      <c r="L925" s="252"/>
      <c r="M925" s="252"/>
      <c r="N925" s="252"/>
      <c r="O925" s="252"/>
      <c r="P925" s="252"/>
      <c r="Q925" s="252"/>
      <c r="R925" s="252"/>
      <c r="S925" s="252"/>
      <c r="T925" s="252"/>
      <c r="U925" s="252"/>
      <c r="V925" s="252"/>
      <c r="W925" s="252"/>
      <c r="X925" s="252"/>
      <c r="Y925" s="252"/>
      <c r="Z925" s="252"/>
      <c r="AA925" s="252"/>
      <c r="AB925" s="252"/>
      <c r="AC925" s="252"/>
    </row>
    <row r="926" spans="1:29" hidden="1" x14ac:dyDescent="0.25">
      <c r="A926" s="252"/>
      <c r="B926" s="252"/>
      <c r="C926" s="252"/>
      <c r="D926" s="252"/>
      <c r="E926" s="252"/>
      <c r="F926" s="252"/>
      <c r="G926" s="252"/>
      <c r="H926" s="252"/>
      <c r="I926" s="252"/>
      <c r="J926" s="252"/>
      <c r="K926" s="252"/>
      <c r="L926" s="252"/>
      <c r="M926" s="252"/>
      <c r="N926" s="252"/>
      <c r="O926" s="252"/>
      <c r="P926" s="252"/>
      <c r="Q926" s="252"/>
      <c r="R926" s="252"/>
      <c r="S926" s="252"/>
      <c r="T926" s="252"/>
      <c r="U926" s="252"/>
      <c r="V926" s="252"/>
      <c r="W926" s="252"/>
      <c r="X926" s="252"/>
      <c r="Y926" s="252"/>
      <c r="Z926" s="252"/>
      <c r="AA926" s="252"/>
      <c r="AB926" s="252"/>
      <c r="AC926" s="252"/>
    </row>
    <row r="927" spans="1:29" hidden="1" x14ac:dyDescent="0.25">
      <c r="A927" s="252"/>
      <c r="B927" s="252"/>
      <c r="C927" s="252"/>
      <c r="D927" s="252"/>
      <c r="E927" s="252"/>
      <c r="F927" s="252"/>
      <c r="G927" s="252"/>
      <c r="H927" s="252"/>
      <c r="I927" s="252"/>
      <c r="J927" s="252"/>
      <c r="K927" s="252"/>
      <c r="L927" s="252"/>
      <c r="M927" s="252"/>
      <c r="N927" s="252"/>
      <c r="O927" s="252"/>
      <c r="P927" s="252"/>
      <c r="Q927" s="252"/>
      <c r="R927" s="252"/>
      <c r="S927" s="252"/>
      <c r="T927" s="252"/>
      <c r="U927" s="252"/>
      <c r="V927" s="252"/>
      <c r="W927" s="252"/>
      <c r="X927" s="252"/>
      <c r="Y927" s="252"/>
      <c r="Z927" s="252"/>
      <c r="AA927" s="252"/>
      <c r="AB927" s="252"/>
      <c r="AC927" s="252"/>
    </row>
    <row r="928" spans="1:29" hidden="1" x14ac:dyDescent="0.25">
      <c r="A928" s="252"/>
      <c r="B928" s="252"/>
      <c r="C928" s="252"/>
      <c r="D928" s="252"/>
      <c r="E928" s="252"/>
      <c r="F928" s="252"/>
      <c r="G928" s="252"/>
      <c r="H928" s="252"/>
      <c r="I928" s="252"/>
      <c r="J928" s="252"/>
      <c r="K928" s="252"/>
      <c r="L928" s="252"/>
      <c r="M928" s="252"/>
      <c r="N928" s="252"/>
      <c r="O928" s="252"/>
      <c r="P928" s="252"/>
      <c r="Q928" s="252"/>
      <c r="R928" s="252"/>
      <c r="S928" s="252"/>
      <c r="T928" s="252"/>
      <c r="U928" s="252"/>
      <c r="V928" s="252"/>
      <c r="W928" s="252"/>
      <c r="X928" s="252"/>
      <c r="Y928" s="252"/>
      <c r="Z928" s="252"/>
      <c r="AA928" s="252"/>
      <c r="AB928" s="252"/>
      <c r="AC928" s="252"/>
    </row>
    <row r="929" spans="1:29" hidden="1" x14ac:dyDescent="0.25">
      <c r="A929" s="252"/>
      <c r="B929" s="252"/>
      <c r="C929" s="252"/>
      <c r="D929" s="252"/>
      <c r="E929" s="252"/>
      <c r="F929" s="252"/>
      <c r="G929" s="252"/>
      <c r="H929" s="252"/>
      <c r="I929" s="252"/>
      <c r="J929" s="252"/>
      <c r="K929" s="252"/>
      <c r="L929" s="252"/>
      <c r="M929" s="252"/>
      <c r="N929" s="252"/>
      <c r="O929" s="252"/>
      <c r="P929" s="252"/>
      <c r="Q929" s="252"/>
      <c r="R929" s="252"/>
      <c r="S929" s="252"/>
      <c r="T929" s="252"/>
      <c r="U929" s="252"/>
      <c r="V929" s="252"/>
      <c r="W929" s="252"/>
      <c r="X929" s="252"/>
      <c r="Y929" s="252"/>
      <c r="Z929" s="252"/>
      <c r="AA929" s="252"/>
      <c r="AB929" s="252"/>
      <c r="AC929" s="252"/>
    </row>
    <row r="930" spans="1:29" hidden="1" x14ac:dyDescent="0.25">
      <c r="A930" s="252"/>
      <c r="B930" s="252"/>
      <c r="C930" s="252"/>
      <c r="D930" s="252"/>
      <c r="E930" s="252"/>
      <c r="F930" s="252"/>
      <c r="G930" s="252"/>
      <c r="H930" s="252"/>
      <c r="I930" s="252"/>
      <c r="J930" s="252"/>
      <c r="K930" s="252"/>
      <c r="L930" s="252"/>
      <c r="M930" s="252"/>
      <c r="N930" s="252"/>
      <c r="O930" s="252"/>
      <c r="P930" s="252"/>
      <c r="Q930" s="252"/>
      <c r="R930" s="252"/>
      <c r="S930" s="252"/>
      <c r="T930" s="252"/>
      <c r="U930" s="252"/>
      <c r="V930" s="252"/>
      <c r="W930" s="252"/>
      <c r="X930" s="252"/>
      <c r="Y930" s="252"/>
      <c r="Z930" s="252"/>
      <c r="AA930" s="252"/>
      <c r="AB930" s="252"/>
      <c r="AC930" s="252"/>
    </row>
    <row r="931" spans="1:29" hidden="1" x14ac:dyDescent="0.25">
      <c r="A931" s="252"/>
      <c r="B931" s="252"/>
      <c r="C931" s="252"/>
      <c r="D931" s="252"/>
      <c r="E931" s="252"/>
      <c r="F931" s="252"/>
      <c r="G931" s="252"/>
      <c r="H931" s="252"/>
      <c r="I931" s="252"/>
      <c r="J931" s="252"/>
      <c r="K931" s="252"/>
      <c r="L931" s="252"/>
      <c r="M931" s="252"/>
      <c r="N931" s="252"/>
      <c r="O931" s="252"/>
      <c r="P931" s="252"/>
      <c r="Q931" s="252"/>
      <c r="R931" s="252"/>
      <c r="S931" s="252"/>
      <c r="T931" s="252"/>
      <c r="U931" s="252"/>
      <c r="V931" s="252"/>
      <c r="W931" s="252"/>
      <c r="X931" s="252"/>
      <c r="Y931" s="252"/>
      <c r="Z931" s="252"/>
      <c r="AA931" s="252"/>
      <c r="AB931" s="252"/>
      <c r="AC931" s="252"/>
    </row>
    <row r="932" spans="1:29" hidden="1" x14ac:dyDescent="0.25">
      <c r="A932" s="252"/>
      <c r="B932" s="252"/>
      <c r="C932" s="252"/>
      <c r="D932" s="252"/>
      <c r="E932" s="252"/>
      <c r="F932" s="252"/>
      <c r="G932" s="252"/>
      <c r="H932" s="252"/>
      <c r="I932" s="252"/>
      <c r="J932" s="252"/>
      <c r="K932" s="252"/>
      <c r="L932" s="252"/>
      <c r="M932" s="252"/>
      <c r="N932" s="252"/>
      <c r="O932" s="252"/>
      <c r="P932" s="252"/>
      <c r="Q932" s="252"/>
      <c r="R932" s="252"/>
      <c r="S932" s="252"/>
      <c r="T932" s="252"/>
      <c r="U932" s="252"/>
      <c r="V932" s="252"/>
      <c r="W932" s="252"/>
      <c r="X932" s="252"/>
      <c r="Y932" s="252"/>
      <c r="Z932" s="252"/>
      <c r="AA932" s="252"/>
      <c r="AB932" s="252"/>
      <c r="AC932" s="252"/>
    </row>
    <row r="933" spans="1:29" hidden="1" x14ac:dyDescent="0.25">
      <c r="A933" s="252"/>
      <c r="B933" s="252"/>
      <c r="C933" s="252"/>
      <c r="D933" s="252"/>
      <c r="E933" s="252"/>
      <c r="F933" s="252"/>
      <c r="G933" s="252"/>
      <c r="H933" s="252"/>
      <c r="I933" s="252"/>
      <c r="J933" s="252"/>
      <c r="K933" s="252"/>
      <c r="L933" s="252"/>
      <c r="M933" s="252"/>
      <c r="N933" s="252"/>
      <c r="O933" s="252"/>
      <c r="P933" s="252"/>
      <c r="Q933" s="252"/>
      <c r="R933" s="252"/>
      <c r="S933" s="252"/>
      <c r="T933" s="252"/>
      <c r="U933" s="252"/>
      <c r="V933" s="252"/>
      <c r="W933" s="252"/>
      <c r="X933" s="252"/>
      <c r="Y933" s="252"/>
      <c r="Z933" s="252"/>
      <c r="AA933" s="252"/>
      <c r="AB933" s="252"/>
      <c r="AC933" s="252"/>
    </row>
    <row r="934" spans="1:29" hidden="1" x14ac:dyDescent="0.25">
      <c r="A934" s="252"/>
      <c r="B934" s="252"/>
      <c r="C934" s="252"/>
      <c r="D934" s="252"/>
      <c r="E934" s="252"/>
      <c r="F934" s="252"/>
      <c r="G934" s="252"/>
      <c r="H934" s="252"/>
      <c r="I934" s="252"/>
      <c r="J934" s="252"/>
      <c r="K934" s="252"/>
      <c r="L934" s="252"/>
      <c r="M934" s="252"/>
      <c r="N934" s="252"/>
      <c r="O934" s="252"/>
      <c r="P934" s="252"/>
      <c r="Q934" s="252"/>
      <c r="R934" s="252"/>
      <c r="S934" s="252"/>
      <c r="T934" s="252"/>
      <c r="U934" s="252"/>
      <c r="V934" s="252"/>
      <c r="W934" s="252"/>
      <c r="X934" s="252"/>
      <c r="Y934" s="252"/>
      <c r="Z934" s="252"/>
      <c r="AA934" s="252"/>
      <c r="AB934" s="252"/>
      <c r="AC934" s="252"/>
    </row>
    <row r="935" spans="1:29" hidden="1" x14ac:dyDescent="0.25">
      <c r="A935" s="252"/>
      <c r="B935" s="252"/>
      <c r="C935" s="252"/>
      <c r="D935" s="252"/>
      <c r="E935" s="252"/>
      <c r="F935" s="252"/>
      <c r="G935" s="252"/>
      <c r="H935" s="252"/>
      <c r="I935" s="252"/>
      <c r="J935" s="252"/>
      <c r="K935" s="252"/>
      <c r="L935" s="252"/>
      <c r="M935" s="252"/>
      <c r="N935" s="252"/>
      <c r="O935" s="252"/>
      <c r="P935" s="252"/>
      <c r="Q935" s="252"/>
      <c r="R935" s="252"/>
      <c r="S935" s="252"/>
      <c r="T935" s="252"/>
      <c r="U935" s="252"/>
      <c r="V935" s="252"/>
      <c r="W935" s="252"/>
      <c r="X935" s="252"/>
      <c r="Y935" s="252"/>
      <c r="Z935" s="252"/>
      <c r="AA935" s="252"/>
      <c r="AB935" s="252"/>
      <c r="AC935" s="252"/>
    </row>
    <row r="936" spans="1:29" hidden="1" x14ac:dyDescent="0.25">
      <c r="A936" s="252"/>
      <c r="B936" s="252"/>
      <c r="C936" s="252"/>
      <c r="D936" s="252"/>
      <c r="E936" s="252"/>
      <c r="F936" s="252"/>
      <c r="G936" s="252"/>
      <c r="H936" s="252"/>
      <c r="I936" s="252"/>
      <c r="J936" s="252"/>
      <c r="K936" s="252"/>
      <c r="L936" s="252"/>
      <c r="M936" s="252"/>
      <c r="N936" s="252"/>
      <c r="O936" s="252"/>
      <c r="P936" s="252"/>
      <c r="Q936" s="252"/>
      <c r="R936" s="252"/>
      <c r="S936" s="252"/>
      <c r="T936" s="252"/>
      <c r="U936" s="252"/>
      <c r="V936" s="252"/>
      <c r="W936" s="252"/>
      <c r="X936" s="252"/>
      <c r="Y936" s="252"/>
      <c r="Z936" s="252"/>
      <c r="AA936" s="252"/>
      <c r="AB936" s="252"/>
      <c r="AC936" s="252"/>
    </row>
    <row r="937" spans="1:29" hidden="1" x14ac:dyDescent="0.25">
      <c r="A937" s="252"/>
      <c r="B937" s="252"/>
      <c r="C937" s="252"/>
      <c r="D937" s="252"/>
      <c r="E937" s="252"/>
      <c r="F937" s="252"/>
      <c r="G937" s="252"/>
      <c r="H937" s="252"/>
      <c r="I937" s="252"/>
      <c r="J937" s="252"/>
      <c r="K937" s="252"/>
      <c r="L937" s="252"/>
      <c r="M937" s="252"/>
      <c r="N937" s="252"/>
      <c r="O937" s="252"/>
      <c r="P937" s="252"/>
      <c r="Q937" s="252"/>
      <c r="R937" s="252"/>
      <c r="S937" s="252"/>
      <c r="T937" s="252"/>
      <c r="U937" s="252"/>
      <c r="V937" s="252"/>
      <c r="W937" s="252"/>
      <c r="X937" s="252"/>
      <c r="Y937" s="252"/>
      <c r="Z937" s="252"/>
      <c r="AA937" s="252"/>
      <c r="AB937" s="252"/>
      <c r="AC937" s="252"/>
    </row>
  </sheetData>
  <sheetProtection password="B65E" sheet="1" objects="1" scenarios="1"/>
  <mergeCells count="1254">
    <mergeCell ref="E827:F827"/>
    <mergeCell ref="N820:O820"/>
    <mergeCell ref="N821:O821"/>
    <mergeCell ref="N822:O822"/>
    <mergeCell ref="N827:O827"/>
    <mergeCell ref="W819:X819"/>
    <mergeCell ref="W820:X820"/>
    <mergeCell ref="W821:X821"/>
    <mergeCell ref="W822:X822"/>
    <mergeCell ref="W823:X823"/>
    <mergeCell ref="W824:X824"/>
    <mergeCell ref="W825:X825"/>
    <mergeCell ref="W826:X826"/>
    <mergeCell ref="W827:X827"/>
    <mergeCell ref="W828:X828"/>
    <mergeCell ref="W829:X829"/>
    <mergeCell ref="W830:X830"/>
    <mergeCell ref="E824:F824"/>
    <mergeCell ref="N824:O824"/>
    <mergeCell ref="E825:F825"/>
    <mergeCell ref="N825:O825"/>
    <mergeCell ref="E826:F826"/>
    <mergeCell ref="N826:O826"/>
    <mergeCell ref="W672:X672"/>
    <mergeCell ref="W673:X673"/>
    <mergeCell ref="W674:X674"/>
    <mergeCell ref="W675:X675"/>
    <mergeCell ref="W676:X676"/>
    <mergeCell ref="W677:X677"/>
    <mergeCell ref="W678:X678"/>
    <mergeCell ref="W679:X679"/>
    <mergeCell ref="W680:X680"/>
    <mergeCell ref="E744:F744"/>
    <mergeCell ref="E745:F745"/>
    <mergeCell ref="E746:F746"/>
    <mergeCell ref="E751:F751"/>
    <mergeCell ref="N744:O744"/>
    <mergeCell ref="N745:O745"/>
    <mergeCell ref="N746:O746"/>
    <mergeCell ref="N751:O751"/>
    <mergeCell ref="W743:X743"/>
    <mergeCell ref="W744:X744"/>
    <mergeCell ref="W745:X745"/>
    <mergeCell ref="W746:X746"/>
    <mergeCell ref="W747:X747"/>
    <mergeCell ref="W748:X748"/>
    <mergeCell ref="W749:X749"/>
    <mergeCell ref="W750:X750"/>
    <mergeCell ref="W751:X751"/>
    <mergeCell ref="N740:O741"/>
    <mergeCell ref="U740:U741"/>
    <mergeCell ref="V740:V741"/>
    <mergeCell ref="W740:X741"/>
    <mergeCell ref="P697:Q697"/>
    <mergeCell ref="U697:U699"/>
    <mergeCell ref="W520:X520"/>
    <mergeCell ref="W521:X521"/>
    <mergeCell ref="W522:X522"/>
    <mergeCell ref="W523:X523"/>
    <mergeCell ref="W524:X524"/>
    <mergeCell ref="W525:X525"/>
    <mergeCell ref="W526:X526"/>
    <mergeCell ref="W527:X527"/>
    <mergeCell ref="W528:X528"/>
    <mergeCell ref="E592:F592"/>
    <mergeCell ref="E593:F593"/>
    <mergeCell ref="E594:F594"/>
    <mergeCell ref="E599:F599"/>
    <mergeCell ref="N592:O592"/>
    <mergeCell ref="N593:O593"/>
    <mergeCell ref="N594:O594"/>
    <mergeCell ref="N599:O599"/>
    <mergeCell ref="W591:X591"/>
    <mergeCell ref="W592:X592"/>
    <mergeCell ref="W593:X593"/>
    <mergeCell ref="W594:X594"/>
    <mergeCell ref="W595:X595"/>
    <mergeCell ref="W596:X596"/>
    <mergeCell ref="W597:X597"/>
    <mergeCell ref="W598:X598"/>
    <mergeCell ref="W599:X599"/>
    <mergeCell ref="N588:O589"/>
    <mergeCell ref="U588:U589"/>
    <mergeCell ref="V588:V589"/>
    <mergeCell ref="W588:X589"/>
    <mergeCell ref="P545:Q545"/>
    <mergeCell ref="U545:U547"/>
    <mergeCell ref="W368:X368"/>
    <mergeCell ref="W369:X369"/>
    <mergeCell ref="W370:X370"/>
    <mergeCell ref="W371:X371"/>
    <mergeCell ref="W372:X372"/>
    <mergeCell ref="W373:X373"/>
    <mergeCell ref="W374:X374"/>
    <mergeCell ref="W375:X375"/>
    <mergeCell ref="W376:X376"/>
    <mergeCell ref="E440:F440"/>
    <mergeCell ref="E441:F441"/>
    <mergeCell ref="E442:F442"/>
    <mergeCell ref="E447:F447"/>
    <mergeCell ref="N440:O440"/>
    <mergeCell ref="N441:O441"/>
    <mergeCell ref="N442:O442"/>
    <mergeCell ref="N447:O447"/>
    <mergeCell ref="W439:X439"/>
    <mergeCell ref="W440:X440"/>
    <mergeCell ref="W441:X441"/>
    <mergeCell ref="W442:X442"/>
    <mergeCell ref="W443:X443"/>
    <mergeCell ref="W444:X444"/>
    <mergeCell ref="W445:X445"/>
    <mergeCell ref="W446:X446"/>
    <mergeCell ref="W447:X447"/>
    <mergeCell ref="N436:O437"/>
    <mergeCell ref="U436:U437"/>
    <mergeCell ref="V436:V437"/>
    <mergeCell ref="W436:X437"/>
    <mergeCell ref="P393:Q393"/>
    <mergeCell ref="U393:U395"/>
    <mergeCell ref="W216:X216"/>
    <mergeCell ref="W217:X217"/>
    <mergeCell ref="W218:X218"/>
    <mergeCell ref="W219:X219"/>
    <mergeCell ref="W220:X220"/>
    <mergeCell ref="W221:X221"/>
    <mergeCell ref="W222:X222"/>
    <mergeCell ref="W223:X223"/>
    <mergeCell ref="W224:X224"/>
    <mergeCell ref="E288:F288"/>
    <mergeCell ref="E289:F289"/>
    <mergeCell ref="E290:F290"/>
    <mergeCell ref="E295:F295"/>
    <mergeCell ref="N288:O288"/>
    <mergeCell ref="N289:O289"/>
    <mergeCell ref="N290:O290"/>
    <mergeCell ref="N295:O295"/>
    <mergeCell ref="W287:X287"/>
    <mergeCell ref="W288:X288"/>
    <mergeCell ref="W289:X289"/>
    <mergeCell ref="W290:X290"/>
    <mergeCell ref="W291:X291"/>
    <mergeCell ref="W292:X292"/>
    <mergeCell ref="W293:X293"/>
    <mergeCell ref="W294:X294"/>
    <mergeCell ref="W295:X295"/>
    <mergeCell ref="N284:O285"/>
    <mergeCell ref="U284:U285"/>
    <mergeCell ref="V284:V285"/>
    <mergeCell ref="W284:X285"/>
    <mergeCell ref="P241:Q241"/>
    <mergeCell ref="U241:U243"/>
    <mergeCell ref="W64:X64"/>
    <mergeCell ref="W65:X65"/>
    <mergeCell ref="W66:X66"/>
    <mergeCell ref="W67:X67"/>
    <mergeCell ref="W68:X68"/>
    <mergeCell ref="W69:X69"/>
    <mergeCell ref="W70:X70"/>
    <mergeCell ref="W71:X71"/>
    <mergeCell ref="W72:X72"/>
    <mergeCell ref="E136:F136"/>
    <mergeCell ref="E137:F137"/>
    <mergeCell ref="E138:F138"/>
    <mergeCell ref="E143:F143"/>
    <mergeCell ref="N136:O136"/>
    <mergeCell ref="N137:O137"/>
    <mergeCell ref="N138:O138"/>
    <mergeCell ref="N143:O143"/>
    <mergeCell ref="W135:X135"/>
    <mergeCell ref="W136:X136"/>
    <mergeCell ref="W137:X137"/>
    <mergeCell ref="W138:X138"/>
    <mergeCell ref="W139:X139"/>
    <mergeCell ref="W140:X140"/>
    <mergeCell ref="W141:X141"/>
    <mergeCell ref="W142:X142"/>
    <mergeCell ref="W143:X143"/>
    <mergeCell ref="N132:O133"/>
    <mergeCell ref="U132:U133"/>
    <mergeCell ref="V132:V133"/>
    <mergeCell ref="W132:X133"/>
    <mergeCell ref="P89:Q89"/>
    <mergeCell ref="U89:U91"/>
    <mergeCell ref="E831:F831"/>
    <mergeCell ref="N831:O831"/>
    <mergeCell ref="T833:T836"/>
    <mergeCell ref="U833:U836"/>
    <mergeCell ref="V833:V836"/>
    <mergeCell ref="W833:X833"/>
    <mergeCell ref="W834:X834"/>
    <mergeCell ref="W835:X835"/>
    <mergeCell ref="W836:X836"/>
    <mergeCell ref="E832:F832"/>
    <mergeCell ref="N832:O832"/>
    <mergeCell ref="E828:F828"/>
    <mergeCell ref="N828:O828"/>
    <mergeCell ref="E829:F829"/>
    <mergeCell ref="N829:O829"/>
    <mergeCell ref="E830:F830"/>
    <mergeCell ref="N830:O830"/>
    <mergeCell ref="W831:X831"/>
    <mergeCell ref="W832:X832"/>
    <mergeCell ref="E818:F818"/>
    <mergeCell ref="N818:O818"/>
    <mergeCell ref="W818:X818"/>
    <mergeCell ref="E819:F819"/>
    <mergeCell ref="N819:O819"/>
    <mergeCell ref="E823:F823"/>
    <mergeCell ref="N823:O823"/>
    <mergeCell ref="N816:O817"/>
    <mergeCell ref="U816:U817"/>
    <mergeCell ref="V816:V817"/>
    <mergeCell ref="W816:X817"/>
    <mergeCell ref="E820:F820"/>
    <mergeCell ref="E821:F821"/>
    <mergeCell ref="E822:F822"/>
    <mergeCell ref="Y816:Z816"/>
    <mergeCell ref="AA816:AB816"/>
    <mergeCell ref="B815:B817"/>
    <mergeCell ref="C815:H815"/>
    <mergeCell ref="K815:K817"/>
    <mergeCell ref="L815:Q815"/>
    <mergeCell ref="T815:T817"/>
    <mergeCell ref="U815:AB815"/>
    <mergeCell ref="C816:C817"/>
    <mergeCell ref="D816:D817"/>
    <mergeCell ref="E816:F817"/>
    <mergeCell ref="M816:M817"/>
    <mergeCell ref="AG794:AG795"/>
    <mergeCell ref="AH794:AH795"/>
    <mergeCell ref="AG803:AG804"/>
    <mergeCell ref="AH803:AH804"/>
    <mergeCell ref="AG805:AG806"/>
    <mergeCell ref="AH805:AH806"/>
    <mergeCell ref="P773:Q773"/>
    <mergeCell ref="U773:U775"/>
    <mergeCell ref="V773:V775"/>
    <mergeCell ref="W773:Y773"/>
    <mergeCell ref="Z773:AB773"/>
    <mergeCell ref="B772:B775"/>
    <mergeCell ref="C772:H772"/>
    <mergeCell ref="K772:K775"/>
    <mergeCell ref="L772:Q772"/>
    <mergeCell ref="T772:T775"/>
    <mergeCell ref="U772:AB772"/>
    <mergeCell ref="C773:C775"/>
    <mergeCell ref="D768:H768"/>
    <mergeCell ref="M768:Q768"/>
    <mergeCell ref="V768:AB768"/>
    <mergeCell ref="D769:H769"/>
    <mergeCell ref="M769:Q769"/>
    <mergeCell ref="V769:AB769"/>
    <mergeCell ref="D773:D775"/>
    <mergeCell ref="E773:F773"/>
    <mergeCell ref="G773:H773"/>
    <mergeCell ref="L773:L775"/>
    <mergeCell ref="M773:M775"/>
    <mergeCell ref="N773:O773"/>
    <mergeCell ref="D770:H770"/>
    <mergeCell ref="M770:Q770"/>
    <mergeCell ref="V770:AB770"/>
    <mergeCell ref="D766:H766"/>
    <mergeCell ref="M766:Q766"/>
    <mergeCell ref="V766:AB766"/>
    <mergeCell ref="D767:H767"/>
    <mergeCell ref="M767:Q767"/>
    <mergeCell ref="V767:AB767"/>
    <mergeCell ref="B762:H762"/>
    <mergeCell ref="K762:Q762"/>
    <mergeCell ref="T762:AB762"/>
    <mergeCell ref="T763:AB763"/>
    <mergeCell ref="D765:H765"/>
    <mergeCell ref="M765:Q765"/>
    <mergeCell ref="V765:AB765"/>
    <mergeCell ref="E755:F755"/>
    <mergeCell ref="N755:O755"/>
    <mergeCell ref="T757:T760"/>
    <mergeCell ref="U757:U760"/>
    <mergeCell ref="V757:V760"/>
    <mergeCell ref="W757:X757"/>
    <mergeCell ref="W758:X758"/>
    <mergeCell ref="W759:X759"/>
    <mergeCell ref="W760:X760"/>
    <mergeCell ref="E756:F756"/>
    <mergeCell ref="N756:O756"/>
    <mergeCell ref="W755:X755"/>
    <mergeCell ref="W756:X756"/>
    <mergeCell ref="E752:F752"/>
    <mergeCell ref="N752:O752"/>
    <mergeCell ref="E753:F753"/>
    <mergeCell ref="N753:O753"/>
    <mergeCell ref="E754:F754"/>
    <mergeCell ref="N754:O754"/>
    <mergeCell ref="E748:F748"/>
    <mergeCell ref="N748:O748"/>
    <mergeCell ref="E749:F749"/>
    <mergeCell ref="N749:O749"/>
    <mergeCell ref="E750:F750"/>
    <mergeCell ref="N750:O750"/>
    <mergeCell ref="E742:F742"/>
    <mergeCell ref="N742:O742"/>
    <mergeCell ref="W742:X742"/>
    <mergeCell ref="E743:F743"/>
    <mergeCell ref="N743:O743"/>
    <mergeCell ref="E747:F747"/>
    <mergeCell ref="N747:O747"/>
    <mergeCell ref="W752:X752"/>
    <mergeCell ref="W753:X753"/>
    <mergeCell ref="W754:X754"/>
    <mergeCell ref="Y740:Z740"/>
    <mergeCell ref="AA740:AB740"/>
    <mergeCell ref="B739:B741"/>
    <mergeCell ref="C739:H739"/>
    <mergeCell ref="K739:K741"/>
    <mergeCell ref="L739:Q739"/>
    <mergeCell ref="T739:T741"/>
    <mergeCell ref="U739:AB739"/>
    <mergeCell ref="C740:C741"/>
    <mergeCell ref="D740:D741"/>
    <mergeCell ref="E740:F741"/>
    <mergeCell ref="M740:M741"/>
    <mergeCell ref="AG718:AG719"/>
    <mergeCell ref="AH718:AH719"/>
    <mergeCell ref="AG727:AG728"/>
    <mergeCell ref="AH727:AH728"/>
    <mergeCell ref="AG729:AG730"/>
    <mergeCell ref="AH729:AH730"/>
    <mergeCell ref="V697:V699"/>
    <mergeCell ref="W697:Y697"/>
    <mergeCell ref="Z697:AB697"/>
    <mergeCell ref="B696:B699"/>
    <mergeCell ref="C696:H696"/>
    <mergeCell ref="K696:K699"/>
    <mergeCell ref="L696:Q696"/>
    <mergeCell ref="T696:T699"/>
    <mergeCell ref="U696:AB696"/>
    <mergeCell ref="C697:C699"/>
    <mergeCell ref="D692:H692"/>
    <mergeCell ref="M692:Q692"/>
    <mergeCell ref="V692:AB692"/>
    <mergeCell ref="D693:H693"/>
    <mergeCell ref="M693:Q693"/>
    <mergeCell ref="V693:AB693"/>
    <mergeCell ref="D697:D699"/>
    <mergeCell ref="E697:F697"/>
    <mergeCell ref="G697:H697"/>
    <mergeCell ref="L697:L699"/>
    <mergeCell ref="M697:M699"/>
    <mergeCell ref="N697:O697"/>
    <mergeCell ref="D694:H694"/>
    <mergeCell ref="M694:Q694"/>
    <mergeCell ref="V694:AB694"/>
    <mergeCell ref="D690:H690"/>
    <mergeCell ref="M690:Q690"/>
    <mergeCell ref="V690:AB690"/>
    <mergeCell ref="D691:H691"/>
    <mergeCell ref="M691:Q691"/>
    <mergeCell ref="V691:AB691"/>
    <mergeCell ref="B686:H686"/>
    <mergeCell ref="K686:Q686"/>
    <mergeCell ref="T686:AB686"/>
    <mergeCell ref="T687:AB687"/>
    <mergeCell ref="D689:H689"/>
    <mergeCell ref="M689:Q689"/>
    <mergeCell ref="V689:AB689"/>
    <mergeCell ref="E679:F679"/>
    <mergeCell ref="N679:O679"/>
    <mergeCell ref="T681:T684"/>
    <mergeCell ref="U681:U684"/>
    <mergeCell ref="V681:V684"/>
    <mergeCell ref="W681:X681"/>
    <mergeCell ref="W682:X682"/>
    <mergeCell ref="W683:X683"/>
    <mergeCell ref="W684:X684"/>
    <mergeCell ref="E680:F680"/>
    <mergeCell ref="N680:O680"/>
    <mergeCell ref="E676:F676"/>
    <mergeCell ref="N676:O676"/>
    <mergeCell ref="E677:F677"/>
    <mergeCell ref="N677:O677"/>
    <mergeCell ref="E678:F678"/>
    <mergeCell ref="N678:O678"/>
    <mergeCell ref="E672:F672"/>
    <mergeCell ref="N672:O672"/>
    <mergeCell ref="E673:F673"/>
    <mergeCell ref="N673:O673"/>
    <mergeCell ref="E674:F674"/>
    <mergeCell ref="N674:O674"/>
    <mergeCell ref="E666:F666"/>
    <mergeCell ref="N666:O666"/>
    <mergeCell ref="W666:X666"/>
    <mergeCell ref="E667:F667"/>
    <mergeCell ref="N667:O667"/>
    <mergeCell ref="E671:F671"/>
    <mergeCell ref="N671:O671"/>
    <mergeCell ref="E668:F668"/>
    <mergeCell ref="E669:F669"/>
    <mergeCell ref="E670:F670"/>
    <mergeCell ref="E675:F675"/>
    <mergeCell ref="N668:O668"/>
    <mergeCell ref="N669:O669"/>
    <mergeCell ref="N670:O670"/>
    <mergeCell ref="N675:O675"/>
    <mergeCell ref="W667:X667"/>
    <mergeCell ref="W668:X668"/>
    <mergeCell ref="W669:X669"/>
    <mergeCell ref="W670:X670"/>
    <mergeCell ref="W671:X671"/>
    <mergeCell ref="N664:O665"/>
    <mergeCell ref="U664:U665"/>
    <mergeCell ref="V664:V665"/>
    <mergeCell ref="W664:X665"/>
    <mergeCell ref="Y664:Z664"/>
    <mergeCell ref="AA664:AB664"/>
    <mergeCell ref="B663:B665"/>
    <mergeCell ref="C663:H663"/>
    <mergeCell ref="K663:K665"/>
    <mergeCell ref="L663:Q663"/>
    <mergeCell ref="T663:T665"/>
    <mergeCell ref="U663:AB663"/>
    <mergeCell ref="C664:C665"/>
    <mergeCell ref="D664:D665"/>
    <mergeCell ref="E664:F665"/>
    <mergeCell ref="M664:M665"/>
    <mergeCell ref="AG642:AG643"/>
    <mergeCell ref="AH642:AH643"/>
    <mergeCell ref="AG651:AG652"/>
    <mergeCell ref="AH651:AH652"/>
    <mergeCell ref="AG653:AG654"/>
    <mergeCell ref="AH653:AH654"/>
    <mergeCell ref="P621:Q621"/>
    <mergeCell ref="U621:U623"/>
    <mergeCell ref="V621:V623"/>
    <mergeCell ref="W621:Y621"/>
    <mergeCell ref="Z621:AB621"/>
    <mergeCell ref="B620:B623"/>
    <mergeCell ref="C620:H620"/>
    <mergeCell ref="K620:K623"/>
    <mergeCell ref="L620:Q620"/>
    <mergeCell ref="T620:T623"/>
    <mergeCell ref="U620:AB620"/>
    <mergeCell ref="C621:C623"/>
    <mergeCell ref="D616:H616"/>
    <mergeCell ref="M616:Q616"/>
    <mergeCell ref="V616:AB616"/>
    <mergeCell ref="D617:H617"/>
    <mergeCell ref="M617:Q617"/>
    <mergeCell ref="V617:AB617"/>
    <mergeCell ref="D621:D623"/>
    <mergeCell ref="E621:F621"/>
    <mergeCell ref="G621:H621"/>
    <mergeCell ref="L621:L623"/>
    <mergeCell ref="M621:M623"/>
    <mergeCell ref="N621:O621"/>
    <mergeCell ref="D618:H618"/>
    <mergeCell ref="M618:Q618"/>
    <mergeCell ref="V618:AB618"/>
    <mergeCell ref="D614:H614"/>
    <mergeCell ref="M614:Q614"/>
    <mergeCell ref="V614:AB614"/>
    <mergeCell ref="D615:H615"/>
    <mergeCell ref="M615:Q615"/>
    <mergeCell ref="V615:AB615"/>
    <mergeCell ref="B610:H610"/>
    <mergeCell ref="K610:Q610"/>
    <mergeCell ref="T610:AB610"/>
    <mergeCell ref="T611:AB611"/>
    <mergeCell ref="D613:H613"/>
    <mergeCell ref="M613:Q613"/>
    <mergeCell ref="V613:AB613"/>
    <mergeCell ref="E603:F603"/>
    <mergeCell ref="N603:O603"/>
    <mergeCell ref="T605:T608"/>
    <mergeCell ref="U605:U608"/>
    <mergeCell ref="V605:V608"/>
    <mergeCell ref="W605:X605"/>
    <mergeCell ref="W606:X606"/>
    <mergeCell ref="W607:X607"/>
    <mergeCell ref="W608:X608"/>
    <mergeCell ref="E604:F604"/>
    <mergeCell ref="N604:O604"/>
    <mergeCell ref="W603:X603"/>
    <mergeCell ref="W604:X604"/>
    <mergeCell ref="E600:F600"/>
    <mergeCell ref="N600:O600"/>
    <mergeCell ref="E601:F601"/>
    <mergeCell ref="N601:O601"/>
    <mergeCell ref="E602:F602"/>
    <mergeCell ref="N602:O602"/>
    <mergeCell ref="E596:F596"/>
    <mergeCell ref="N596:O596"/>
    <mergeCell ref="E597:F597"/>
    <mergeCell ref="N597:O597"/>
    <mergeCell ref="E598:F598"/>
    <mergeCell ref="N598:O598"/>
    <mergeCell ref="E590:F590"/>
    <mergeCell ref="N590:O590"/>
    <mergeCell ref="W590:X590"/>
    <mergeCell ref="E591:F591"/>
    <mergeCell ref="N591:O591"/>
    <mergeCell ref="E595:F595"/>
    <mergeCell ref="N595:O595"/>
    <mergeCell ref="W600:X600"/>
    <mergeCell ref="W601:X601"/>
    <mergeCell ref="W602:X602"/>
    <mergeCell ref="Y588:Z588"/>
    <mergeCell ref="AA588:AB588"/>
    <mergeCell ref="B587:B589"/>
    <mergeCell ref="C587:H587"/>
    <mergeCell ref="K587:K589"/>
    <mergeCell ref="L587:Q587"/>
    <mergeCell ref="T587:T589"/>
    <mergeCell ref="U587:AB587"/>
    <mergeCell ref="C588:C589"/>
    <mergeCell ref="D588:D589"/>
    <mergeCell ref="E588:F589"/>
    <mergeCell ref="M588:M589"/>
    <mergeCell ref="AG566:AG567"/>
    <mergeCell ref="AH566:AH567"/>
    <mergeCell ref="AG575:AG576"/>
    <mergeCell ref="AH575:AH576"/>
    <mergeCell ref="AG577:AG578"/>
    <mergeCell ref="AH577:AH578"/>
    <mergeCell ref="V545:V547"/>
    <mergeCell ref="W545:Y545"/>
    <mergeCell ref="Z545:AB545"/>
    <mergeCell ref="B544:B547"/>
    <mergeCell ref="C544:H544"/>
    <mergeCell ref="K544:K547"/>
    <mergeCell ref="L544:Q544"/>
    <mergeCell ref="T544:T547"/>
    <mergeCell ref="U544:AB544"/>
    <mergeCell ref="C545:C547"/>
    <mergeCell ref="D540:H540"/>
    <mergeCell ref="M540:Q540"/>
    <mergeCell ref="V540:AB540"/>
    <mergeCell ref="D541:H541"/>
    <mergeCell ref="M541:Q541"/>
    <mergeCell ref="V541:AB541"/>
    <mergeCell ref="D545:D547"/>
    <mergeCell ref="E545:F545"/>
    <mergeCell ref="G545:H545"/>
    <mergeCell ref="L545:L547"/>
    <mergeCell ref="M545:M547"/>
    <mergeCell ref="N545:O545"/>
    <mergeCell ref="D542:H542"/>
    <mergeCell ref="M542:Q542"/>
    <mergeCell ref="V542:AB542"/>
    <mergeCell ref="D538:H538"/>
    <mergeCell ref="M538:Q538"/>
    <mergeCell ref="V538:AB538"/>
    <mergeCell ref="D539:H539"/>
    <mergeCell ref="M539:Q539"/>
    <mergeCell ref="V539:AB539"/>
    <mergeCell ref="B534:H534"/>
    <mergeCell ref="K534:Q534"/>
    <mergeCell ref="T534:AB534"/>
    <mergeCell ref="T535:AB535"/>
    <mergeCell ref="D537:H537"/>
    <mergeCell ref="M537:Q537"/>
    <mergeCell ref="V537:AB537"/>
    <mergeCell ref="E527:F527"/>
    <mergeCell ref="N527:O527"/>
    <mergeCell ref="T529:T532"/>
    <mergeCell ref="U529:U532"/>
    <mergeCell ref="V529:V532"/>
    <mergeCell ref="W529:X529"/>
    <mergeCell ref="W530:X530"/>
    <mergeCell ref="W531:X531"/>
    <mergeCell ref="W532:X532"/>
    <mergeCell ref="E528:F528"/>
    <mergeCell ref="N528:O528"/>
    <mergeCell ref="E524:F524"/>
    <mergeCell ref="N524:O524"/>
    <mergeCell ref="E525:F525"/>
    <mergeCell ref="N525:O525"/>
    <mergeCell ref="E526:F526"/>
    <mergeCell ref="N526:O526"/>
    <mergeCell ref="E520:F520"/>
    <mergeCell ref="N520:O520"/>
    <mergeCell ref="E521:F521"/>
    <mergeCell ref="N521:O521"/>
    <mergeCell ref="E522:F522"/>
    <mergeCell ref="N522:O522"/>
    <mergeCell ref="E514:F514"/>
    <mergeCell ref="N514:O514"/>
    <mergeCell ref="W514:X514"/>
    <mergeCell ref="E515:F515"/>
    <mergeCell ref="N515:O515"/>
    <mergeCell ref="E519:F519"/>
    <mergeCell ref="N519:O519"/>
    <mergeCell ref="E516:F516"/>
    <mergeCell ref="E517:F517"/>
    <mergeCell ref="E518:F518"/>
    <mergeCell ref="E523:F523"/>
    <mergeCell ref="N516:O516"/>
    <mergeCell ref="N517:O517"/>
    <mergeCell ref="N518:O518"/>
    <mergeCell ref="N523:O523"/>
    <mergeCell ref="W515:X515"/>
    <mergeCell ref="W516:X516"/>
    <mergeCell ref="W517:X517"/>
    <mergeCell ref="W518:X518"/>
    <mergeCell ref="W519:X519"/>
    <mergeCell ref="N512:O513"/>
    <mergeCell ref="U512:U513"/>
    <mergeCell ref="V512:V513"/>
    <mergeCell ref="W512:X513"/>
    <mergeCell ref="Y512:Z512"/>
    <mergeCell ref="AA512:AB512"/>
    <mergeCell ref="B511:B513"/>
    <mergeCell ref="C511:H511"/>
    <mergeCell ref="K511:K513"/>
    <mergeCell ref="L511:Q511"/>
    <mergeCell ref="T511:T513"/>
    <mergeCell ref="U511:AB511"/>
    <mergeCell ref="C512:C513"/>
    <mergeCell ref="D512:D513"/>
    <mergeCell ref="E512:F513"/>
    <mergeCell ref="M512:M513"/>
    <mergeCell ref="AG490:AG491"/>
    <mergeCell ref="AH490:AH491"/>
    <mergeCell ref="AG499:AG500"/>
    <mergeCell ref="AH499:AH500"/>
    <mergeCell ref="AG501:AG502"/>
    <mergeCell ref="AH501:AH502"/>
    <mergeCell ref="P469:Q469"/>
    <mergeCell ref="U469:U471"/>
    <mergeCell ref="V469:V471"/>
    <mergeCell ref="W469:Y469"/>
    <mergeCell ref="Z469:AB469"/>
    <mergeCell ref="B468:B471"/>
    <mergeCell ref="C468:H468"/>
    <mergeCell ref="K468:K471"/>
    <mergeCell ref="L468:Q468"/>
    <mergeCell ref="T468:T471"/>
    <mergeCell ref="U468:AB468"/>
    <mergeCell ref="C469:C471"/>
    <mergeCell ref="D464:H464"/>
    <mergeCell ref="M464:Q464"/>
    <mergeCell ref="V464:AB464"/>
    <mergeCell ref="D465:H465"/>
    <mergeCell ref="M465:Q465"/>
    <mergeCell ref="V465:AB465"/>
    <mergeCell ref="D469:D471"/>
    <mergeCell ref="E469:F469"/>
    <mergeCell ref="G469:H469"/>
    <mergeCell ref="L469:L471"/>
    <mergeCell ref="M469:M471"/>
    <mergeCell ref="N469:O469"/>
    <mergeCell ref="D466:H466"/>
    <mergeCell ref="M466:Q466"/>
    <mergeCell ref="V466:AB466"/>
    <mergeCell ref="D462:H462"/>
    <mergeCell ref="M462:Q462"/>
    <mergeCell ref="V462:AB462"/>
    <mergeCell ref="D463:H463"/>
    <mergeCell ref="M463:Q463"/>
    <mergeCell ref="V463:AB463"/>
    <mergeCell ref="B458:H458"/>
    <mergeCell ref="K458:Q458"/>
    <mergeCell ref="T458:AB458"/>
    <mergeCell ref="T459:AB459"/>
    <mergeCell ref="D461:H461"/>
    <mergeCell ref="M461:Q461"/>
    <mergeCell ref="V461:AB461"/>
    <mergeCell ref="E451:F451"/>
    <mergeCell ref="N451:O451"/>
    <mergeCell ref="T453:T456"/>
    <mergeCell ref="U453:U456"/>
    <mergeCell ref="V453:V456"/>
    <mergeCell ref="W453:X453"/>
    <mergeCell ref="W454:X454"/>
    <mergeCell ref="W455:X455"/>
    <mergeCell ref="W456:X456"/>
    <mergeCell ref="E452:F452"/>
    <mergeCell ref="N452:O452"/>
    <mergeCell ref="W451:X451"/>
    <mergeCell ref="W452:X452"/>
    <mergeCell ref="E448:F448"/>
    <mergeCell ref="N448:O448"/>
    <mergeCell ref="E449:F449"/>
    <mergeCell ref="N449:O449"/>
    <mergeCell ref="E450:F450"/>
    <mergeCell ref="N450:O450"/>
    <mergeCell ref="E444:F444"/>
    <mergeCell ref="N444:O444"/>
    <mergeCell ref="E445:F445"/>
    <mergeCell ref="N445:O445"/>
    <mergeCell ref="E446:F446"/>
    <mergeCell ref="N446:O446"/>
    <mergeCell ref="E438:F438"/>
    <mergeCell ref="N438:O438"/>
    <mergeCell ref="W438:X438"/>
    <mergeCell ref="E439:F439"/>
    <mergeCell ref="N439:O439"/>
    <mergeCell ref="E443:F443"/>
    <mergeCell ref="N443:O443"/>
    <mergeCell ref="W448:X448"/>
    <mergeCell ref="W449:X449"/>
    <mergeCell ref="W450:X450"/>
    <mergeCell ref="Y436:Z436"/>
    <mergeCell ref="AA436:AB436"/>
    <mergeCell ref="B435:B437"/>
    <mergeCell ref="C435:H435"/>
    <mergeCell ref="K435:K437"/>
    <mergeCell ref="L435:Q435"/>
    <mergeCell ref="T435:T437"/>
    <mergeCell ref="U435:AB435"/>
    <mergeCell ref="C436:C437"/>
    <mergeCell ref="D436:D437"/>
    <mergeCell ref="E436:F437"/>
    <mergeCell ref="M436:M437"/>
    <mergeCell ref="AG414:AG415"/>
    <mergeCell ref="AH414:AH415"/>
    <mergeCell ref="AG423:AG424"/>
    <mergeCell ref="AH423:AH424"/>
    <mergeCell ref="AG425:AG426"/>
    <mergeCell ref="AH425:AH426"/>
    <mergeCell ref="V393:V395"/>
    <mergeCell ref="W393:Y393"/>
    <mergeCell ref="Z393:AB393"/>
    <mergeCell ref="B392:B395"/>
    <mergeCell ref="C392:H392"/>
    <mergeCell ref="K392:K395"/>
    <mergeCell ref="L392:Q392"/>
    <mergeCell ref="T392:T395"/>
    <mergeCell ref="U392:AB392"/>
    <mergeCell ref="C393:C395"/>
    <mergeCell ref="D388:H388"/>
    <mergeCell ref="M388:Q388"/>
    <mergeCell ref="V388:AB388"/>
    <mergeCell ref="D389:H389"/>
    <mergeCell ref="M389:Q389"/>
    <mergeCell ref="V389:AB389"/>
    <mergeCell ref="D393:D395"/>
    <mergeCell ref="E393:F393"/>
    <mergeCell ref="G393:H393"/>
    <mergeCell ref="L393:L395"/>
    <mergeCell ref="M393:M395"/>
    <mergeCell ref="N393:O393"/>
    <mergeCell ref="D390:H390"/>
    <mergeCell ref="M390:Q390"/>
    <mergeCell ref="V390:AB390"/>
    <mergeCell ref="D386:H386"/>
    <mergeCell ref="M386:Q386"/>
    <mergeCell ref="V386:AB386"/>
    <mergeCell ref="D387:H387"/>
    <mergeCell ref="M387:Q387"/>
    <mergeCell ref="V387:AB387"/>
    <mergeCell ref="B382:H382"/>
    <mergeCell ref="K382:Q382"/>
    <mergeCell ref="T382:AB382"/>
    <mergeCell ref="T383:AB383"/>
    <mergeCell ref="D385:H385"/>
    <mergeCell ref="M385:Q385"/>
    <mergeCell ref="V385:AB385"/>
    <mergeCell ref="E375:F375"/>
    <mergeCell ref="N375:O375"/>
    <mergeCell ref="T377:T380"/>
    <mergeCell ref="U377:U380"/>
    <mergeCell ref="V377:V380"/>
    <mergeCell ref="W377:X377"/>
    <mergeCell ref="W378:X378"/>
    <mergeCell ref="W379:X379"/>
    <mergeCell ref="W380:X380"/>
    <mergeCell ref="E376:F376"/>
    <mergeCell ref="N376:O376"/>
    <mergeCell ref="E371:F371"/>
    <mergeCell ref="N371:O371"/>
    <mergeCell ref="E373:F373"/>
    <mergeCell ref="N373:O373"/>
    <mergeCell ref="E374:F374"/>
    <mergeCell ref="N374:O374"/>
    <mergeCell ref="E368:F368"/>
    <mergeCell ref="N368:O368"/>
    <mergeCell ref="E369:F369"/>
    <mergeCell ref="N369:O369"/>
    <mergeCell ref="E370:F370"/>
    <mergeCell ref="N370:O370"/>
    <mergeCell ref="E362:F362"/>
    <mergeCell ref="N362:O362"/>
    <mergeCell ref="W362:X362"/>
    <mergeCell ref="E363:F363"/>
    <mergeCell ref="N363:O363"/>
    <mergeCell ref="E367:F367"/>
    <mergeCell ref="N367:O367"/>
    <mergeCell ref="E364:F364"/>
    <mergeCell ref="E365:F365"/>
    <mergeCell ref="E366:F366"/>
    <mergeCell ref="E372:F372"/>
    <mergeCell ref="N364:O364"/>
    <mergeCell ref="N365:O365"/>
    <mergeCell ref="N366:O366"/>
    <mergeCell ref="N372:O372"/>
    <mergeCell ref="W363:X363"/>
    <mergeCell ref="W364:X364"/>
    <mergeCell ref="W365:X365"/>
    <mergeCell ref="W366:X366"/>
    <mergeCell ref="W367:X367"/>
    <mergeCell ref="N360:O361"/>
    <mergeCell ref="U360:U361"/>
    <mergeCell ref="V360:V361"/>
    <mergeCell ref="W360:X361"/>
    <mergeCell ref="Y360:Z360"/>
    <mergeCell ref="AA360:AB360"/>
    <mergeCell ref="B359:B361"/>
    <mergeCell ref="C359:H359"/>
    <mergeCell ref="K359:K361"/>
    <mergeCell ref="L359:Q359"/>
    <mergeCell ref="T359:T361"/>
    <mergeCell ref="U359:AB359"/>
    <mergeCell ref="C360:C361"/>
    <mergeCell ref="D360:D361"/>
    <mergeCell ref="E360:F361"/>
    <mergeCell ref="M360:M361"/>
    <mergeCell ref="AG338:AG339"/>
    <mergeCell ref="AH338:AH339"/>
    <mergeCell ref="AG347:AG348"/>
    <mergeCell ref="AH347:AH348"/>
    <mergeCell ref="AG349:AG350"/>
    <mergeCell ref="AH349:AH350"/>
    <mergeCell ref="P317:Q317"/>
    <mergeCell ref="U317:U319"/>
    <mergeCell ref="V317:V319"/>
    <mergeCell ref="W317:Y317"/>
    <mergeCell ref="Z317:AB317"/>
    <mergeCell ref="B316:B319"/>
    <mergeCell ref="C316:H316"/>
    <mergeCell ref="K316:K319"/>
    <mergeCell ref="L316:Q316"/>
    <mergeCell ref="T316:T319"/>
    <mergeCell ref="U316:AB316"/>
    <mergeCell ref="C317:C319"/>
    <mergeCell ref="D312:H312"/>
    <mergeCell ref="M312:Q312"/>
    <mergeCell ref="V312:AB312"/>
    <mergeCell ref="D313:H313"/>
    <mergeCell ref="M313:Q313"/>
    <mergeCell ref="V313:AB313"/>
    <mergeCell ref="D317:D319"/>
    <mergeCell ref="E317:F317"/>
    <mergeCell ref="G317:H317"/>
    <mergeCell ref="L317:L319"/>
    <mergeCell ref="M317:M319"/>
    <mergeCell ref="N317:O317"/>
    <mergeCell ref="D314:H314"/>
    <mergeCell ref="M314:Q314"/>
    <mergeCell ref="V314:AB314"/>
    <mergeCell ref="D310:H310"/>
    <mergeCell ref="M310:Q310"/>
    <mergeCell ref="V310:AB310"/>
    <mergeCell ref="D311:H311"/>
    <mergeCell ref="M311:Q311"/>
    <mergeCell ref="V311:AB311"/>
    <mergeCell ref="B306:H306"/>
    <mergeCell ref="K306:Q306"/>
    <mergeCell ref="T306:AB306"/>
    <mergeCell ref="T307:AB307"/>
    <mergeCell ref="D309:H309"/>
    <mergeCell ref="M309:Q309"/>
    <mergeCell ref="V309:AB309"/>
    <mergeCell ref="E299:F299"/>
    <mergeCell ref="N299:O299"/>
    <mergeCell ref="T301:T304"/>
    <mergeCell ref="U301:U304"/>
    <mergeCell ref="V301:V304"/>
    <mergeCell ref="W301:X301"/>
    <mergeCell ref="W302:X302"/>
    <mergeCell ref="W303:X303"/>
    <mergeCell ref="W304:X304"/>
    <mergeCell ref="E300:F300"/>
    <mergeCell ref="N300:O300"/>
    <mergeCell ref="W299:X299"/>
    <mergeCell ref="W300:X300"/>
    <mergeCell ref="E296:F296"/>
    <mergeCell ref="N296:O296"/>
    <mergeCell ref="E297:F297"/>
    <mergeCell ref="N297:O297"/>
    <mergeCell ref="E298:F298"/>
    <mergeCell ref="N298:O298"/>
    <mergeCell ref="E292:F292"/>
    <mergeCell ref="N292:O292"/>
    <mergeCell ref="E293:F293"/>
    <mergeCell ref="N293:O293"/>
    <mergeCell ref="E294:F294"/>
    <mergeCell ref="N294:O294"/>
    <mergeCell ref="E286:F286"/>
    <mergeCell ref="N286:O286"/>
    <mergeCell ref="W286:X286"/>
    <mergeCell ref="E287:F287"/>
    <mergeCell ref="N287:O287"/>
    <mergeCell ref="E291:F291"/>
    <mergeCell ref="N291:O291"/>
    <mergeCell ref="W296:X296"/>
    <mergeCell ref="W297:X297"/>
    <mergeCell ref="W298:X298"/>
    <mergeCell ref="Y284:Z284"/>
    <mergeCell ref="AA284:AB284"/>
    <mergeCell ref="B283:B285"/>
    <mergeCell ref="C283:H283"/>
    <mergeCell ref="K283:K285"/>
    <mergeCell ref="L283:Q283"/>
    <mergeCell ref="T283:T285"/>
    <mergeCell ref="U283:AB283"/>
    <mergeCell ref="C284:C285"/>
    <mergeCell ref="D284:D285"/>
    <mergeCell ref="E284:F285"/>
    <mergeCell ref="M284:M285"/>
    <mergeCell ref="AG262:AG263"/>
    <mergeCell ref="AH262:AH263"/>
    <mergeCell ref="AG271:AG272"/>
    <mergeCell ref="AH271:AH272"/>
    <mergeCell ref="AG273:AG274"/>
    <mergeCell ref="AH273:AH274"/>
    <mergeCell ref="V241:V243"/>
    <mergeCell ref="W241:Y241"/>
    <mergeCell ref="Z241:AB241"/>
    <mergeCell ref="B240:B243"/>
    <mergeCell ref="C240:H240"/>
    <mergeCell ref="K240:K243"/>
    <mergeCell ref="L240:Q240"/>
    <mergeCell ref="T240:T243"/>
    <mergeCell ref="U240:AB240"/>
    <mergeCell ref="C241:C243"/>
    <mergeCell ref="D236:H236"/>
    <mergeCell ref="M236:Q236"/>
    <mergeCell ref="V236:AB236"/>
    <mergeCell ref="D237:H237"/>
    <mergeCell ref="M237:Q237"/>
    <mergeCell ref="V237:AB237"/>
    <mergeCell ref="D241:D243"/>
    <mergeCell ref="E241:F241"/>
    <mergeCell ref="G241:H241"/>
    <mergeCell ref="L241:L243"/>
    <mergeCell ref="M241:M243"/>
    <mergeCell ref="N241:O241"/>
    <mergeCell ref="D238:H238"/>
    <mergeCell ref="M238:Q238"/>
    <mergeCell ref="V238:AB238"/>
    <mergeCell ref="D234:H234"/>
    <mergeCell ref="M234:Q234"/>
    <mergeCell ref="V234:AB234"/>
    <mergeCell ref="D235:H235"/>
    <mergeCell ref="M235:Q235"/>
    <mergeCell ref="V235:AB235"/>
    <mergeCell ref="B230:H230"/>
    <mergeCell ref="K230:Q230"/>
    <mergeCell ref="T230:AB230"/>
    <mergeCell ref="T231:AB231"/>
    <mergeCell ref="D233:H233"/>
    <mergeCell ref="M233:Q233"/>
    <mergeCell ref="V233:AB233"/>
    <mergeCell ref="E223:F223"/>
    <mergeCell ref="N223:O223"/>
    <mergeCell ref="T225:T228"/>
    <mergeCell ref="U225:U228"/>
    <mergeCell ref="V225:V228"/>
    <mergeCell ref="W225:X225"/>
    <mergeCell ref="W226:X226"/>
    <mergeCell ref="W227:X227"/>
    <mergeCell ref="W228:X228"/>
    <mergeCell ref="E224:F224"/>
    <mergeCell ref="N224:O224"/>
    <mergeCell ref="E220:F220"/>
    <mergeCell ref="N220:O220"/>
    <mergeCell ref="E221:F221"/>
    <mergeCell ref="N221:O221"/>
    <mergeCell ref="E222:F222"/>
    <mergeCell ref="N222:O222"/>
    <mergeCell ref="E216:F216"/>
    <mergeCell ref="N216:O216"/>
    <mergeCell ref="E217:F217"/>
    <mergeCell ref="N217:O217"/>
    <mergeCell ref="E218:F218"/>
    <mergeCell ref="N218:O218"/>
    <mergeCell ref="E210:F210"/>
    <mergeCell ref="N210:O210"/>
    <mergeCell ref="W210:X210"/>
    <mergeCell ref="E211:F211"/>
    <mergeCell ref="N211:O211"/>
    <mergeCell ref="E215:F215"/>
    <mergeCell ref="N215:O215"/>
    <mergeCell ref="E212:F212"/>
    <mergeCell ref="E213:F213"/>
    <mergeCell ref="E214:F214"/>
    <mergeCell ref="E219:F219"/>
    <mergeCell ref="N212:O212"/>
    <mergeCell ref="N213:O213"/>
    <mergeCell ref="N214:O214"/>
    <mergeCell ref="N219:O219"/>
    <mergeCell ref="W211:X211"/>
    <mergeCell ref="W212:X212"/>
    <mergeCell ref="W213:X213"/>
    <mergeCell ref="W214:X214"/>
    <mergeCell ref="W215:X215"/>
    <mergeCell ref="N208:O209"/>
    <mergeCell ref="U208:U209"/>
    <mergeCell ref="V208:V209"/>
    <mergeCell ref="W208:X209"/>
    <mergeCell ref="Y208:Z208"/>
    <mergeCell ref="AA208:AB208"/>
    <mergeCell ref="B207:B209"/>
    <mergeCell ref="C207:H207"/>
    <mergeCell ref="K207:K209"/>
    <mergeCell ref="L207:Q207"/>
    <mergeCell ref="T207:T209"/>
    <mergeCell ref="U207:AB207"/>
    <mergeCell ref="C208:C209"/>
    <mergeCell ref="D208:D209"/>
    <mergeCell ref="E208:F209"/>
    <mergeCell ref="M208:M209"/>
    <mergeCell ref="AG186:AG187"/>
    <mergeCell ref="AH186:AH187"/>
    <mergeCell ref="AG195:AG196"/>
    <mergeCell ref="AH195:AH196"/>
    <mergeCell ref="AG197:AG198"/>
    <mergeCell ref="AH197:AH198"/>
    <mergeCell ref="P165:Q165"/>
    <mergeCell ref="U165:U167"/>
    <mergeCell ref="V165:V167"/>
    <mergeCell ref="W165:Y165"/>
    <mergeCell ref="Z165:AB165"/>
    <mergeCell ref="B164:B167"/>
    <mergeCell ref="C164:H164"/>
    <mergeCell ref="K164:K167"/>
    <mergeCell ref="L164:Q164"/>
    <mergeCell ref="T164:T167"/>
    <mergeCell ref="U164:AB164"/>
    <mergeCell ref="C165:C167"/>
    <mergeCell ref="D160:H160"/>
    <mergeCell ref="M160:Q160"/>
    <mergeCell ref="V160:AB160"/>
    <mergeCell ref="D161:H161"/>
    <mergeCell ref="M161:Q161"/>
    <mergeCell ref="V161:AB161"/>
    <mergeCell ref="D165:D167"/>
    <mergeCell ref="E165:F165"/>
    <mergeCell ref="G165:H165"/>
    <mergeCell ref="L165:L167"/>
    <mergeCell ref="M165:M167"/>
    <mergeCell ref="N165:O165"/>
    <mergeCell ref="D162:H162"/>
    <mergeCell ref="M162:Q162"/>
    <mergeCell ref="V162:AB162"/>
    <mergeCell ref="D158:H158"/>
    <mergeCell ref="M158:Q158"/>
    <mergeCell ref="V158:AB158"/>
    <mergeCell ref="D159:H159"/>
    <mergeCell ref="M159:Q159"/>
    <mergeCell ref="V159:AB159"/>
    <mergeCell ref="B154:H154"/>
    <mergeCell ref="K154:Q154"/>
    <mergeCell ref="T154:AB154"/>
    <mergeCell ref="T155:AB155"/>
    <mergeCell ref="D157:H157"/>
    <mergeCell ref="M157:Q157"/>
    <mergeCell ref="V157:AB157"/>
    <mergeCell ref="E147:F147"/>
    <mergeCell ref="N147:O147"/>
    <mergeCell ref="T149:T152"/>
    <mergeCell ref="U149:U152"/>
    <mergeCell ref="V149:V152"/>
    <mergeCell ref="W149:X149"/>
    <mergeCell ref="W150:X150"/>
    <mergeCell ref="W151:X151"/>
    <mergeCell ref="W152:X152"/>
    <mergeCell ref="E148:F148"/>
    <mergeCell ref="N148:O148"/>
    <mergeCell ref="W147:X147"/>
    <mergeCell ref="W148:X148"/>
    <mergeCell ref="E144:F144"/>
    <mergeCell ref="N144:O144"/>
    <mergeCell ref="E145:F145"/>
    <mergeCell ref="N145:O145"/>
    <mergeCell ref="E146:F146"/>
    <mergeCell ref="N146:O146"/>
    <mergeCell ref="E140:F140"/>
    <mergeCell ref="N140:O140"/>
    <mergeCell ref="E141:F141"/>
    <mergeCell ref="N141:O141"/>
    <mergeCell ref="E142:F142"/>
    <mergeCell ref="N142:O142"/>
    <mergeCell ref="E134:F134"/>
    <mergeCell ref="N134:O134"/>
    <mergeCell ref="W134:X134"/>
    <mergeCell ref="E135:F135"/>
    <mergeCell ref="N135:O135"/>
    <mergeCell ref="E139:F139"/>
    <mergeCell ref="N139:O139"/>
    <mergeCell ref="W144:X144"/>
    <mergeCell ref="W145:X145"/>
    <mergeCell ref="W146:X146"/>
    <mergeCell ref="Y132:Z132"/>
    <mergeCell ref="AA132:AB132"/>
    <mergeCell ref="B131:B133"/>
    <mergeCell ref="C131:H131"/>
    <mergeCell ref="K131:K133"/>
    <mergeCell ref="L131:Q131"/>
    <mergeCell ref="T131:T133"/>
    <mergeCell ref="U131:AB131"/>
    <mergeCell ref="C132:C133"/>
    <mergeCell ref="D132:D133"/>
    <mergeCell ref="E132:F133"/>
    <mergeCell ref="M132:M133"/>
    <mergeCell ref="AG110:AG111"/>
    <mergeCell ref="AH110:AH111"/>
    <mergeCell ref="AG119:AG120"/>
    <mergeCell ref="AH119:AH120"/>
    <mergeCell ref="AG121:AG122"/>
    <mergeCell ref="AH121:AH122"/>
    <mergeCell ref="V89:V91"/>
    <mergeCell ref="W89:Y89"/>
    <mergeCell ref="Z89:AB89"/>
    <mergeCell ref="B88:B91"/>
    <mergeCell ref="C88:H88"/>
    <mergeCell ref="K88:K91"/>
    <mergeCell ref="L88:Q88"/>
    <mergeCell ref="T88:T91"/>
    <mergeCell ref="U88:AB88"/>
    <mergeCell ref="C89:C91"/>
    <mergeCell ref="D84:H84"/>
    <mergeCell ref="M84:Q84"/>
    <mergeCell ref="V84:AB84"/>
    <mergeCell ref="D85:H85"/>
    <mergeCell ref="M85:Q85"/>
    <mergeCell ref="V85:AB85"/>
    <mergeCell ref="D89:D91"/>
    <mergeCell ref="E89:F89"/>
    <mergeCell ref="G89:H89"/>
    <mergeCell ref="L89:L91"/>
    <mergeCell ref="M89:M91"/>
    <mergeCell ref="N89:O89"/>
    <mergeCell ref="D86:H86"/>
    <mergeCell ref="M86:Q86"/>
    <mergeCell ref="V86:AB86"/>
    <mergeCell ref="D82:H82"/>
    <mergeCell ref="M82:Q82"/>
    <mergeCell ref="V82:AB82"/>
    <mergeCell ref="D83:H83"/>
    <mergeCell ref="M83:Q83"/>
    <mergeCell ref="V83:AB83"/>
    <mergeCell ref="B78:H78"/>
    <mergeCell ref="K78:Q78"/>
    <mergeCell ref="T78:AB78"/>
    <mergeCell ref="T79:AB79"/>
    <mergeCell ref="D81:H81"/>
    <mergeCell ref="M81:Q81"/>
    <mergeCell ref="V81:AB81"/>
    <mergeCell ref="E71:F71"/>
    <mergeCell ref="N71:O71"/>
    <mergeCell ref="T73:T76"/>
    <mergeCell ref="U73:U76"/>
    <mergeCell ref="V73:V76"/>
    <mergeCell ref="W73:X73"/>
    <mergeCell ref="W74:X74"/>
    <mergeCell ref="W75:X75"/>
    <mergeCell ref="W76:X76"/>
    <mergeCell ref="N72:O72"/>
    <mergeCell ref="E72:F72"/>
    <mergeCell ref="E68:F68"/>
    <mergeCell ref="N68:O68"/>
    <mergeCell ref="E69:F69"/>
    <mergeCell ref="N69:O69"/>
    <mergeCell ref="E70:F70"/>
    <mergeCell ref="N70:O70"/>
    <mergeCell ref="E64:F64"/>
    <mergeCell ref="N64:O64"/>
    <mergeCell ref="E65:F65"/>
    <mergeCell ref="N65:O65"/>
    <mergeCell ref="E66:F66"/>
    <mergeCell ref="N66:O66"/>
    <mergeCell ref="E58:F58"/>
    <mergeCell ref="N58:O58"/>
    <mergeCell ref="W58:X58"/>
    <mergeCell ref="E59:F59"/>
    <mergeCell ref="N59:O59"/>
    <mergeCell ref="E63:F63"/>
    <mergeCell ref="N63:O63"/>
    <mergeCell ref="E60:F60"/>
    <mergeCell ref="E61:F61"/>
    <mergeCell ref="E62:F62"/>
    <mergeCell ref="E67:F67"/>
    <mergeCell ref="N60:O60"/>
    <mergeCell ref="N61:O61"/>
    <mergeCell ref="N62:O62"/>
    <mergeCell ref="N67:O67"/>
    <mergeCell ref="W59:X59"/>
    <mergeCell ref="W60:X60"/>
    <mergeCell ref="W61:X61"/>
    <mergeCell ref="W62:X62"/>
    <mergeCell ref="W63:X63"/>
    <mergeCell ref="N56:O57"/>
    <mergeCell ref="U56:U57"/>
    <mergeCell ref="V56:V57"/>
    <mergeCell ref="W56:X57"/>
    <mergeCell ref="Y56:Z56"/>
    <mergeCell ref="AA56:AB56"/>
    <mergeCell ref="B55:B57"/>
    <mergeCell ref="C55:H55"/>
    <mergeCell ref="K55:K57"/>
    <mergeCell ref="L55:Q55"/>
    <mergeCell ref="T55:T57"/>
    <mergeCell ref="U55:AB55"/>
    <mergeCell ref="C56:C57"/>
    <mergeCell ref="D56:D57"/>
    <mergeCell ref="E56:F57"/>
    <mergeCell ref="M56:M57"/>
    <mergeCell ref="AG34:AG35"/>
    <mergeCell ref="AH34:AH35"/>
    <mergeCell ref="AG43:AG44"/>
    <mergeCell ref="AH43:AH44"/>
    <mergeCell ref="AG45:AG46"/>
    <mergeCell ref="AH45:AH46"/>
    <mergeCell ref="P13:Q13"/>
    <mergeCell ref="U13:U15"/>
    <mergeCell ref="V13:V15"/>
    <mergeCell ref="W13:Y13"/>
    <mergeCell ref="Z13:AB13"/>
    <mergeCell ref="B12:B15"/>
    <mergeCell ref="C12:H12"/>
    <mergeCell ref="K12:K15"/>
    <mergeCell ref="L12:Q12"/>
    <mergeCell ref="T12:T15"/>
    <mergeCell ref="U12:AB12"/>
    <mergeCell ref="C13:C15"/>
    <mergeCell ref="B2:H2"/>
    <mergeCell ref="K2:Q2"/>
    <mergeCell ref="T2:AB2"/>
    <mergeCell ref="T3:AB3"/>
    <mergeCell ref="D5:H5"/>
    <mergeCell ref="M5:Q5"/>
    <mergeCell ref="V5:AB5"/>
    <mergeCell ref="D8:H8"/>
    <mergeCell ref="M8:Q8"/>
    <mergeCell ref="V8:AB8"/>
    <mergeCell ref="D9:H9"/>
    <mergeCell ref="M9:Q9"/>
    <mergeCell ref="V9:AB9"/>
    <mergeCell ref="D13:D15"/>
    <mergeCell ref="E13:F13"/>
    <mergeCell ref="G13:H13"/>
    <mergeCell ref="L13:L15"/>
    <mergeCell ref="M13:M15"/>
    <mergeCell ref="N13:O13"/>
    <mergeCell ref="D10:H10"/>
    <mergeCell ref="M10:Q10"/>
    <mergeCell ref="V10:AB10"/>
    <mergeCell ref="D6:H6"/>
    <mergeCell ref="M6:Q6"/>
    <mergeCell ref="V6:AB6"/>
    <mergeCell ref="D7:H7"/>
    <mergeCell ref="M7:Q7"/>
    <mergeCell ref="V7:AB7"/>
  </mergeCells>
  <pageMargins left="0.70866141732283472" right="0.70866141732283472" top="0.78740157480314965" bottom="0.78740157480314965" header="0.31496062992125984" footer="0.31496062992125984"/>
  <pageSetup paperSize="9" scale="64" orientation="portrait" horizontalDpi="4294967293" verticalDpi="4294967293" r:id="rId1"/>
  <rowBreaks count="10" manualBreakCount="10">
    <brk id="76" max="28" man="1"/>
    <brk id="152" max="28" man="1"/>
    <brk id="228" max="28" man="1"/>
    <brk id="304" max="28" man="1"/>
    <brk id="380" max="28" man="1"/>
    <brk id="456" max="28" man="1"/>
    <brk id="532" max="28" man="1"/>
    <brk id="608" max="28" man="1"/>
    <brk id="684" max="28" man="1"/>
    <brk id="760" max="28" man="1"/>
  </rowBreaks>
  <colBreaks count="3" manualBreakCount="3">
    <brk id="9" max="1048575" man="1"/>
    <brk id="18" max="1048575" man="1"/>
    <brk id="2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6">
    <tabColor theme="0"/>
  </sheetPr>
  <dimension ref="A1:M111"/>
  <sheetViews>
    <sheetView zoomScale="70" zoomScaleNormal="70" workbookViewId="0">
      <selection activeCell="B2" sqref="B2"/>
    </sheetView>
  </sheetViews>
  <sheetFormatPr defaultColWidth="0" defaultRowHeight="15" zeroHeight="1" x14ac:dyDescent="0.25"/>
  <cols>
    <col min="1" max="1" width="1.85546875" style="679" customWidth="1"/>
    <col min="2" max="2" width="24.85546875" customWidth="1"/>
    <col min="3" max="3" width="9.140625" customWidth="1"/>
    <col min="4" max="10" width="8.85546875" customWidth="1"/>
    <col min="11" max="11" width="8.85546875" style="679" customWidth="1"/>
    <col min="12" max="13" width="0" hidden="1" customWidth="1"/>
    <col min="14" max="16384" width="8.85546875" hidden="1"/>
  </cols>
  <sheetData>
    <row r="1" spans="1:13" s="679" customFormat="1" x14ac:dyDescent="0.25">
      <c r="A1" s="717"/>
      <c r="C1" s="717"/>
      <c r="D1" s="717"/>
      <c r="E1" s="717"/>
      <c r="F1" s="717"/>
      <c r="G1" s="717"/>
      <c r="H1" s="717"/>
      <c r="I1" s="717"/>
      <c r="J1" s="717"/>
      <c r="K1" s="717"/>
      <c r="L1" s="717"/>
      <c r="M1" s="717"/>
    </row>
    <row r="2" spans="1:13" s="679" customFormat="1" x14ac:dyDescent="0.25">
      <c r="A2" s="717"/>
      <c r="B2" s="719" t="s">
        <v>105</v>
      </c>
      <c r="C2" s="720"/>
      <c r="D2" s="720"/>
      <c r="E2" s="721"/>
      <c r="F2" s="720"/>
      <c r="G2" s="720"/>
      <c r="H2" s="717"/>
      <c r="I2" s="717"/>
      <c r="J2" s="717"/>
      <c r="K2" s="717"/>
      <c r="L2" s="717"/>
      <c r="M2" s="717"/>
    </row>
    <row r="3" spans="1:13" x14ac:dyDescent="0.25">
      <c r="A3" s="717"/>
      <c r="B3" s="1137" t="s">
        <v>117</v>
      </c>
      <c r="C3" s="1138"/>
      <c r="D3" s="1138"/>
      <c r="E3" s="1138"/>
      <c r="F3" s="1138"/>
      <c r="G3" s="1138"/>
      <c r="H3" s="1138"/>
      <c r="I3" s="1138"/>
      <c r="J3" s="1139"/>
      <c r="K3" s="717"/>
      <c r="L3" s="145"/>
      <c r="M3" s="145"/>
    </row>
    <row r="4" spans="1:13" x14ac:dyDescent="0.25">
      <c r="A4" s="717"/>
      <c r="B4" s="1140" t="s">
        <v>208</v>
      </c>
      <c r="C4" s="1141"/>
      <c r="D4" s="1141"/>
      <c r="E4" s="1141"/>
      <c r="F4" s="1141"/>
      <c r="G4" s="1141"/>
      <c r="H4" s="1141"/>
      <c r="I4" s="1141"/>
      <c r="J4" s="1142"/>
      <c r="K4" s="717"/>
      <c r="L4" s="145"/>
      <c r="M4" s="145"/>
    </row>
    <row r="5" spans="1:13" x14ac:dyDescent="0.25">
      <c r="A5" s="717"/>
      <c r="B5" s="1143" t="s">
        <v>164</v>
      </c>
      <c r="C5" s="1144"/>
      <c r="D5" s="1144"/>
      <c r="E5" s="1144"/>
      <c r="F5" s="1144"/>
      <c r="G5" s="1144"/>
      <c r="H5" s="1144"/>
      <c r="I5" s="1144"/>
      <c r="J5" s="1145"/>
      <c r="K5" s="717"/>
      <c r="L5" s="145"/>
      <c r="M5" s="145"/>
    </row>
    <row r="6" spans="1:13" x14ac:dyDescent="0.25">
      <c r="A6" s="717"/>
      <c r="B6" s="1146" t="s">
        <v>140</v>
      </c>
      <c r="C6" s="1147"/>
      <c r="D6" s="1147"/>
      <c r="E6" s="1147"/>
      <c r="F6" s="1147"/>
      <c r="G6" s="1147"/>
      <c r="H6" s="1147"/>
      <c r="I6" s="1147"/>
      <c r="J6" s="1148"/>
      <c r="K6" s="717"/>
      <c r="L6" s="145"/>
      <c r="M6" s="145"/>
    </row>
    <row r="7" spans="1:13" x14ac:dyDescent="0.25">
      <c r="A7" s="717"/>
      <c r="B7" s="1149" t="s">
        <v>135</v>
      </c>
      <c r="C7" s="1150"/>
      <c r="D7" s="1150"/>
      <c r="E7" s="1150"/>
      <c r="F7" s="1150"/>
      <c r="G7" s="1150"/>
      <c r="H7" s="1150"/>
      <c r="I7" s="1150"/>
      <c r="J7" s="1151"/>
      <c r="K7" s="717"/>
      <c r="L7" s="145"/>
      <c r="M7" s="145"/>
    </row>
    <row r="8" spans="1:13" x14ac:dyDescent="0.25">
      <c r="A8" s="717"/>
      <c r="B8" s="1134" t="s">
        <v>163</v>
      </c>
      <c r="C8" s="1135"/>
      <c r="D8" s="1135"/>
      <c r="E8" s="1135"/>
      <c r="F8" s="1135"/>
      <c r="G8" s="1135"/>
      <c r="H8" s="1135"/>
      <c r="I8" s="1135"/>
      <c r="J8" s="1136"/>
      <c r="K8" s="717"/>
      <c r="L8" s="145"/>
      <c r="M8" s="145"/>
    </row>
    <row r="9" spans="1:13" x14ac:dyDescent="0.25">
      <c r="A9" s="717"/>
      <c r="B9" s="1152" t="s">
        <v>247</v>
      </c>
      <c r="C9" s="1153"/>
      <c r="D9" s="1153"/>
      <c r="E9" s="1153"/>
      <c r="F9" s="1153"/>
      <c r="G9" s="1153"/>
      <c r="H9" s="1153"/>
      <c r="I9" s="1153"/>
      <c r="J9" s="1154"/>
      <c r="K9" s="717"/>
      <c r="L9" s="145"/>
      <c r="M9" s="145"/>
    </row>
    <row r="10" spans="1:13" x14ac:dyDescent="0.25">
      <c r="A10" s="717"/>
      <c r="B10" s="1131" t="s">
        <v>246</v>
      </c>
      <c r="C10" s="1132"/>
      <c r="D10" s="1132"/>
      <c r="E10" s="1132"/>
      <c r="F10" s="1132"/>
      <c r="G10" s="1132"/>
      <c r="H10" s="1132"/>
      <c r="I10" s="1132"/>
      <c r="J10" s="1133"/>
      <c r="K10" s="717"/>
      <c r="L10" s="145"/>
      <c r="M10" s="145"/>
    </row>
    <row r="11" spans="1:13" s="679" customFormat="1" x14ac:dyDescent="0.25">
      <c r="A11" s="717"/>
      <c r="B11" s="717"/>
      <c r="C11" s="717"/>
      <c r="D11" s="717"/>
      <c r="E11" s="717"/>
      <c r="F11" s="717"/>
      <c r="G11" s="717"/>
      <c r="H11" s="717"/>
      <c r="I11" s="717"/>
      <c r="J11" s="717"/>
      <c r="K11" s="717"/>
      <c r="L11" s="717"/>
      <c r="M11" s="717"/>
    </row>
    <row r="12" spans="1:13" s="679" customFormat="1" x14ac:dyDescent="0.25">
      <c r="A12" s="717"/>
      <c r="B12" s="719" t="s">
        <v>168</v>
      </c>
      <c r="C12" s="718"/>
      <c r="D12" s="718"/>
      <c r="E12" s="718"/>
      <c r="F12" s="718"/>
      <c r="G12" s="718"/>
      <c r="H12" s="718"/>
      <c r="I12" s="718"/>
      <c r="J12" s="718"/>
      <c r="K12" s="718"/>
      <c r="L12" s="718"/>
      <c r="M12" s="717"/>
    </row>
    <row r="13" spans="1:13" ht="15" customHeight="1" x14ac:dyDescent="0.25">
      <c r="A13" s="717"/>
      <c r="B13" s="387" t="s">
        <v>167</v>
      </c>
      <c r="C13" s="1155" t="s">
        <v>172</v>
      </c>
      <c r="D13" s="1156"/>
      <c r="E13" s="1156"/>
      <c r="F13" s="1156"/>
      <c r="G13" s="1156"/>
      <c r="H13" s="1156"/>
      <c r="I13" s="1156"/>
      <c r="J13" s="1157"/>
      <c r="K13" s="718"/>
      <c r="L13" s="31"/>
      <c r="M13" s="145"/>
    </row>
    <row r="14" spans="1:13" ht="15" customHeight="1" x14ac:dyDescent="0.25">
      <c r="A14" s="717"/>
      <c r="B14" s="387" t="s">
        <v>297</v>
      </c>
      <c r="C14" s="1128" t="s">
        <v>298</v>
      </c>
      <c r="D14" s="1129"/>
      <c r="E14" s="1129"/>
      <c r="F14" s="1129"/>
      <c r="G14" s="1129"/>
      <c r="H14" s="1129"/>
      <c r="I14" s="1129"/>
      <c r="J14" s="1130"/>
      <c r="K14" s="718"/>
      <c r="L14" s="31"/>
      <c r="M14" s="145"/>
    </row>
    <row r="15" spans="1:13" ht="53.25" customHeight="1" x14ac:dyDescent="0.25">
      <c r="A15" s="717"/>
      <c r="B15" s="387" t="s">
        <v>178</v>
      </c>
      <c r="C15" s="1128" t="s">
        <v>442</v>
      </c>
      <c r="D15" s="1129"/>
      <c r="E15" s="1129"/>
      <c r="F15" s="1129"/>
      <c r="G15" s="1129"/>
      <c r="H15" s="1129"/>
      <c r="I15" s="1129"/>
      <c r="J15" s="1130"/>
      <c r="K15" s="718"/>
      <c r="L15" s="31"/>
      <c r="M15" s="145"/>
    </row>
    <row r="16" spans="1:13" ht="15" customHeight="1" x14ac:dyDescent="0.25">
      <c r="A16" s="717"/>
      <c r="B16" s="387" t="s">
        <v>270</v>
      </c>
      <c r="C16" s="1128" t="s">
        <v>295</v>
      </c>
      <c r="D16" s="1129"/>
      <c r="E16" s="1129"/>
      <c r="F16" s="1129"/>
      <c r="G16" s="1129"/>
      <c r="H16" s="1129"/>
      <c r="I16" s="1129"/>
      <c r="J16" s="1130"/>
      <c r="K16" s="718"/>
      <c r="L16" s="31"/>
      <c r="M16" s="145"/>
    </row>
    <row r="17" spans="1:13" ht="15" customHeight="1" x14ac:dyDescent="0.25">
      <c r="A17" s="717"/>
      <c r="B17" s="387" t="s">
        <v>290</v>
      </c>
      <c r="C17" s="1128" t="s">
        <v>299</v>
      </c>
      <c r="D17" s="1129"/>
      <c r="E17" s="1129"/>
      <c r="F17" s="1129"/>
      <c r="G17" s="1129"/>
      <c r="H17" s="1129"/>
      <c r="I17" s="1129"/>
      <c r="J17" s="1130"/>
      <c r="K17" s="718"/>
      <c r="L17" s="31"/>
      <c r="M17" s="145"/>
    </row>
    <row r="18" spans="1:13" ht="27" customHeight="1" x14ac:dyDescent="0.25">
      <c r="A18" s="717"/>
      <c r="B18" s="387" t="s">
        <v>7</v>
      </c>
      <c r="C18" s="1128" t="s">
        <v>443</v>
      </c>
      <c r="D18" s="1129"/>
      <c r="E18" s="1129"/>
      <c r="F18" s="1129"/>
      <c r="G18" s="1129"/>
      <c r="H18" s="1129"/>
      <c r="I18" s="1129"/>
      <c r="J18" s="1130"/>
      <c r="K18" s="718"/>
      <c r="L18" s="31"/>
      <c r="M18" s="145"/>
    </row>
    <row r="19" spans="1:13" ht="40.5" customHeight="1" x14ac:dyDescent="0.25">
      <c r="A19" s="717"/>
      <c r="B19" s="387" t="s">
        <v>300</v>
      </c>
      <c r="C19" s="1128" t="s">
        <v>301</v>
      </c>
      <c r="D19" s="1129"/>
      <c r="E19" s="1129"/>
      <c r="F19" s="1129"/>
      <c r="G19" s="1129"/>
      <c r="H19" s="1129"/>
      <c r="I19" s="1129"/>
      <c r="J19" s="1130"/>
      <c r="K19" s="718"/>
      <c r="L19" s="31"/>
      <c r="M19" s="145"/>
    </row>
    <row r="20" spans="1:13" ht="28.5" customHeight="1" x14ac:dyDescent="0.25">
      <c r="A20" s="717"/>
      <c r="B20" s="387" t="s">
        <v>288</v>
      </c>
      <c r="C20" s="1128" t="s">
        <v>444</v>
      </c>
      <c r="D20" s="1129"/>
      <c r="E20" s="1129"/>
      <c r="F20" s="1129"/>
      <c r="G20" s="1129"/>
      <c r="H20" s="1129"/>
      <c r="I20" s="1129"/>
      <c r="J20" s="1130"/>
      <c r="K20" s="718"/>
      <c r="L20" s="31"/>
      <c r="M20" s="145"/>
    </row>
    <row r="21" spans="1:13" ht="15" customHeight="1" x14ac:dyDescent="0.25">
      <c r="A21" s="717"/>
      <c r="B21" s="387" t="s">
        <v>256</v>
      </c>
      <c r="C21" s="1128" t="s">
        <v>257</v>
      </c>
      <c r="D21" s="1129"/>
      <c r="E21" s="1129"/>
      <c r="F21" s="1129"/>
      <c r="G21" s="1129"/>
      <c r="H21" s="1129"/>
      <c r="I21" s="1129"/>
      <c r="J21" s="1130"/>
      <c r="K21" s="718"/>
      <c r="L21" s="31"/>
      <c r="M21" s="145"/>
    </row>
    <row r="22" spans="1:13" ht="15" customHeight="1" x14ac:dyDescent="0.25">
      <c r="A22" s="717"/>
      <c r="B22" s="387" t="s">
        <v>259</v>
      </c>
      <c r="C22" s="1128" t="s">
        <v>260</v>
      </c>
      <c r="D22" s="1129"/>
      <c r="E22" s="1129"/>
      <c r="F22" s="1129"/>
      <c r="G22" s="1129"/>
      <c r="H22" s="1129"/>
      <c r="I22" s="1129"/>
      <c r="J22" s="1130"/>
      <c r="K22" s="718"/>
      <c r="L22" s="31"/>
      <c r="M22" s="145"/>
    </row>
    <row r="23" spans="1:13" ht="15" customHeight="1" x14ac:dyDescent="0.25">
      <c r="A23" s="717"/>
      <c r="B23" s="387" t="s">
        <v>261</v>
      </c>
      <c r="C23" s="1128" t="s">
        <v>262</v>
      </c>
      <c r="D23" s="1129"/>
      <c r="E23" s="1129"/>
      <c r="F23" s="1129"/>
      <c r="G23" s="1129"/>
      <c r="H23" s="1129"/>
      <c r="I23" s="1129"/>
      <c r="J23" s="1130"/>
      <c r="K23" s="718"/>
      <c r="L23" s="31"/>
      <c r="M23" s="145"/>
    </row>
    <row r="24" spans="1:13" ht="39" customHeight="1" x14ac:dyDescent="0.25">
      <c r="A24" s="717"/>
      <c r="B24" s="387" t="s">
        <v>289</v>
      </c>
      <c r="C24" s="1128" t="s">
        <v>296</v>
      </c>
      <c r="D24" s="1129"/>
      <c r="E24" s="1129"/>
      <c r="F24" s="1129"/>
      <c r="G24" s="1129"/>
      <c r="H24" s="1129"/>
      <c r="I24" s="1129"/>
      <c r="J24" s="1130"/>
      <c r="K24" s="718"/>
      <c r="L24" s="31"/>
      <c r="M24" s="145"/>
    </row>
    <row r="25" spans="1:13" ht="52.9" customHeight="1" x14ac:dyDescent="0.25">
      <c r="A25" s="717"/>
      <c r="B25" s="716" t="s">
        <v>448</v>
      </c>
      <c r="C25" s="1128" t="s">
        <v>447</v>
      </c>
      <c r="D25" s="1129"/>
      <c r="E25" s="1129"/>
      <c r="F25" s="1129"/>
      <c r="G25" s="1129"/>
      <c r="H25" s="1129"/>
      <c r="I25" s="1129"/>
      <c r="J25" s="1130"/>
      <c r="K25" s="718"/>
      <c r="L25" s="31"/>
      <c r="M25" s="145"/>
    </row>
    <row r="26" spans="1:13" ht="15" customHeight="1" x14ac:dyDescent="0.25">
      <c r="A26" s="717"/>
      <c r="B26" s="387" t="s">
        <v>174</v>
      </c>
      <c r="C26" s="1128" t="s">
        <v>175</v>
      </c>
      <c r="D26" s="1129"/>
      <c r="E26" s="1129"/>
      <c r="F26" s="1129"/>
      <c r="G26" s="1129"/>
      <c r="H26" s="1129"/>
      <c r="I26" s="1129"/>
      <c r="J26" s="1130"/>
      <c r="K26" s="718"/>
      <c r="L26" s="31"/>
      <c r="M26" s="145"/>
    </row>
    <row r="27" spans="1:13" ht="15" customHeight="1" x14ac:dyDescent="0.25">
      <c r="A27" s="717"/>
      <c r="B27" s="387" t="s">
        <v>111</v>
      </c>
      <c r="C27" s="1128" t="s">
        <v>302</v>
      </c>
      <c r="D27" s="1129"/>
      <c r="E27" s="1129"/>
      <c r="F27" s="1129"/>
      <c r="G27" s="1129"/>
      <c r="H27" s="1129"/>
      <c r="I27" s="1129"/>
      <c r="J27" s="1130"/>
      <c r="K27" s="717"/>
      <c r="L27" s="145"/>
      <c r="M27" s="145"/>
    </row>
    <row r="28" spans="1:13" ht="15" customHeight="1" x14ac:dyDescent="0.25">
      <c r="A28" s="717"/>
      <c r="B28" s="387" t="s">
        <v>181</v>
      </c>
      <c r="C28" s="1128" t="s">
        <v>252</v>
      </c>
      <c r="D28" s="1129"/>
      <c r="E28" s="1129"/>
      <c r="F28" s="1129"/>
      <c r="G28" s="1129"/>
      <c r="H28" s="1129"/>
      <c r="I28" s="1129"/>
      <c r="J28" s="1130"/>
      <c r="K28" s="717"/>
      <c r="L28" s="145"/>
      <c r="M28" s="145"/>
    </row>
    <row r="29" spans="1:13" x14ac:dyDescent="0.25">
      <c r="A29" s="717"/>
      <c r="B29" s="387" t="s">
        <v>171</v>
      </c>
      <c r="C29" s="1128" t="s">
        <v>173</v>
      </c>
      <c r="D29" s="1129"/>
      <c r="E29" s="1129"/>
      <c r="F29" s="1129"/>
      <c r="G29" s="1129"/>
      <c r="H29" s="1129"/>
      <c r="I29" s="1129"/>
      <c r="J29" s="1130"/>
      <c r="K29" s="717"/>
      <c r="L29" s="145"/>
      <c r="M29" s="145"/>
    </row>
    <row r="30" spans="1:13" ht="27.75" customHeight="1" x14ac:dyDescent="0.25">
      <c r="A30" s="717"/>
      <c r="B30" s="387" t="s">
        <v>207</v>
      </c>
      <c r="C30" s="1128" t="s">
        <v>303</v>
      </c>
      <c r="D30" s="1129"/>
      <c r="E30" s="1129"/>
      <c r="F30" s="1129"/>
      <c r="G30" s="1129"/>
      <c r="H30" s="1129"/>
      <c r="I30" s="1129"/>
      <c r="J30" s="1130"/>
      <c r="K30" s="717"/>
      <c r="L30" s="145"/>
      <c r="M30" s="145"/>
    </row>
    <row r="31" spans="1:13" x14ac:dyDescent="0.25">
      <c r="A31" s="717"/>
      <c r="B31" s="387" t="s">
        <v>143</v>
      </c>
      <c r="C31" s="1128" t="s">
        <v>304</v>
      </c>
      <c r="D31" s="1129"/>
      <c r="E31" s="1129"/>
      <c r="F31" s="1129"/>
      <c r="G31" s="1129"/>
      <c r="H31" s="1129"/>
      <c r="I31" s="1129"/>
      <c r="J31" s="1130"/>
      <c r="K31" s="717"/>
      <c r="L31" s="145"/>
      <c r="M31" s="145"/>
    </row>
    <row r="32" spans="1:13" ht="15" customHeight="1" x14ac:dyDescent="0.25">
      <c r="A32" s="717"/>
      <c r="B32" s="387" t="s">
        <v>110</v>
      </c>
      <c r="C32" s="1128" t="s">
        <v>305</v>
      </c>
      <c r="D32" s="1129"/>
      <c r="E32" s="1129"/>
      <c r="F32" s="1129"/>
      <c r="G32" s="1129"/>
      <c r="H32" s="1129"/>
      <c r="I32" s="1129"/>
      <c r="J32" s="1130"/>
      <c r="K32" s="717"/>
      <c r="L32" s="145"/>
      <c r="M32" s="145"/>
    </row>
    <row r="33" spans="1:13" ht="15" customHeight="1" x14ac:dyDescent="0.25">
      <c r="A33" s="717"/>
      <c r="B33" s="387" t="s">
        <v>265</v>
      </c>
      <c r="C33" s="1128" t="s">
        <v>266</v>
      </c>
      <c r="D33" s="1129"/>
      <c r="E33" s="1129"/>
      <c r="F33" s="1129"/>
      <c r="G33" s="1129"/>
      <c r="H33" s="1129"/>
      <c r="I33" s="1129"/>
      <c r="J33" s="1130"/>
      <c r="K33" s="717"/>
      <c r="L33" s="145"/>
      <c r="M33" s="145"/>
    </row>
    <row r="34" spans="1:13" ht="15.75" customHeight="1" x14ac:dyDescent="0.25">
      <c r="A34" s="717"/>
      <c r="B34" s="387" t="s">
        <v>287</v>
      </c>
      <c r="C34" s="1128" t="s">
        <v>294</v>
      </c>
      <c r="D34" s="1129"/>
      <c r="E34" s="1129"/>
      <c r="F34" s="1129"/>
      <c r="G34" s="1129"/>
      <c r="H34" s="1129"/>
      <c r="I34" s="1129"/>
      <c r="J34" s="1130"/>
      <c r="K34" s="717"/>
      <c r="L34" s="145"/>
      <c r="M34" s="145"/>
    </row>
    <row r="35" spans="1:13" ht="15" customHeight="1" x14ac:dyDescent="0.25">
      <c r="A35" s="717"/>
      <c r="B35" s="387" t="s">
        <v>194</v>
      </c>
      <c r="C35" s="1128" t="s">
        <v>292</v>
      </c>
      <c r="D35" s="1129"/>
      <c r="E35" s="1129"/>
      <c r="F35" s="1129"/>
      <c r="G35" s="1129"/>
      <c r="H35" s="1129"/>
      <c r="I35" s="1129"/>
      <c r="J35" s="1130"/>
      <c r="K35" s="717"/>
      <c r="L35" s="145"/>
      <c r="M35" s="145"/>
    </row>
    <row r="36" spans="1:13" ht="54" customHeight="1" x14ac:dyDescent="0.25">
      <c r="A36" s="717"/>
      <c r="B36" s="387" t="s">
        <v>291</v>
      </c>
      <c r="C36" s="1128" t="s">
        <v>445</v>
      </c>
      <c r="D36" s="1129"/>
      <c r="E36" s="1129"/>
      <c r="F36" s="1129"/>
      <c r="G36" s="1129"/>
      <c r="H36" s="1129"/>
      <c r="I36" s="1129"/>
      <c r="J36" s="1130"/>
      <c r="K36" s="717"/>
      <c r="L36" s="145"/>
      <c r="M36" s="145"/>
    </row>
    <row r="37" spans="1:13" ht="29.45" customHeight="1" x14ac:dyDescent="0.25">
      <c r="A37" s="717"/>
      <c r="B37" s="387" t="s">
        <v>240</v>
      </c>
      <c r="C37" s="1128" t="s">
        <v>446</v>
      </c>
      <c r="D37" s="1129"/>
      <c r="E37" s="1129"/>
      <c r="F37" s="1129"/>
      <c r="G37" s="1129"/>
      <c r="H37" s="1129"/>
      <c r="I37" s="1129"/>
      <c r="J37" s="1130"/>
      <c r="K37" s="717"/>
      <c r="L37" s="145"/>
      <c r="M37" s="145"/>
    </row>
    <row r="38" spans="1:13" ht="15" customHeight="1" x14ac:dyDescent="0.25">
      <c r="A38" s="717"/>
      <c r="B38" s="387" t="s">
        <v>169</v>
      </c>
      <c r="C38" s="1128" t="s">
        <v>170</v>
      </c>
      <c r="D38" s="1129"/>
      <c r="E38" s="1129"/>
      <c r="F38" s="1129"/>
      <c r="G38" s="1129"/>
      <c r="H38" s="1129"/>
      <c r="I38" s="1129"/>
      <c r="J38" s="1130"/>
      <c r="K38" s="717"/>
      <c r="L38" s="145"/>
      <c r="M38" s="145"/>
    </row>
    <row r="39" spans="1:13" ht="15" customHeight="1" x14ac:dyDescent="0.25">
      <c r="A39" s="717"/>
      <c r="B39" s="387" t="s">
        <v>196</v>
      </c>
      <c r="C39" s="1128" t="s">
        <v>209</v>
      </c>
      <c r="D39" s="1129"/>
      <c r="E39" s="1129"/>
      <c r="F39" s="1129"/>
      <c r="G39" s="1129"/>
      <c r="H39" s="1129"/>
      <c r="I39" s="1129"/>
      <c r="J39" s="1130"/>
      <c r="K39" s="717"/>
      <c r="L39" s="145"/>
      <c r="M39" s="145"/>
    </row>
    <row r="40" spans="1:13" ht="15" customHeight="1" x14ac:dyDescent="0.25">
      <c r="A40" s="717"/>
      <c r="B40" s="387" t="s">
        <v>313</v>
      </c>
      <c r="C40" s="397" t="s">
        <v>314</v>
      </c>
      <c r="D40" s="395"/>
      <c r="E40" s="395"/>
      <c r="F40" s="395"/>
      <c r="G40" s="395"/>
      <c r="H40" s="395"/>
      <c r="I40" s="395"/>
      <c r="J40" s="396"/>
      <c r="K40" s="717"/>
      <c r="L40" s="145"/>
      <c r="M40" s="145"/>
    </row>
    <row r="41" spans="1:13" ht="15" customHeight="1" x14ac:dyDescent="0.25">
      <c r="A41" s="717"/>
      <c r="B41" s="387" t="s">
        <v>195</v>
      </c>
      <c r="C41" s="1128" t="s">
        <v>293</v>
      </c>
      <c r="D41" s="1129"/>
      <c r="E41" s="1129"/>
      <c r="F41" s="1129"/>
      <c r="G41" s="1129"/>
      <c r="H41" s="1129"/>
      <c r="I41" s="1129"/>
      <c r="J41" s="1130"/>
      <c r="K41" s="717"/>
      <c r="L41" s="145"/>
      <c r="M41" s="145"/>
    </row>
    <row r="42" spans="1:13" ht="15" customHeight="1" x14ac:dyDescent="0.25">
      <c r="A42" s="717"/>
      <c r="B42" s="387" t="s">
        <v>197</v>
      </c>
      <c r="C42" s="1128" t="s">
        <v>206</v>
      </c>
      <c r="D42" s="1129"/>
      <c r="E42" s="1129"/>
      <c r="F42" s="1129"/>
      <c r="G42" s="1129"/>
      <c r="H42" s="1129"/>
      <c r="I42" s="1129"/>
      <c r="J42" s="1130"/>
      <c r="K42" s="717"/>
      <c r="L42" s="145"/>
      <c r="M42" s="145"/>
    </row>
    <row r="43" spans="1:13" s="679" customFormat="1" x14ac:dyDescent="0.25">
      <c r="A43" s="717"/>
      <c r="B43" s="717"/>
      <c r="C43" s="717"/>
      <c r="D43" s="717"/>
      <c r="E43" s="717"/>
      <c r="F43" s="717"/>
      <c r="G43" s="717"/>
      <c r="H43" s="717"/>
      <c r="I43" s="717"/>
      <c r="J43" s="717"/>
      <c r="K43" s="717"/>
      <c r="L43" s="717"/>
      <c r="M43" s="717"/>
    </row>
    <row r="44" spans="1:13" hidden="1" x14ac:dyDescent="0.25">
      <c r="A44" s="717"/>
      <c r="B44" s="145"/>
      <c r="C44" s="145"/>
      <c r="D44" s="145"/>
      <c r="E44" s="145"/>
      <c r="F44" s="145"/>
      <c r="G44" s="145"/>
      <c r="H44" s="145"/>
      <c r="I44" s="145"/>
      <c r="J44" s="145"/>
      <c r="K44" s="717"/>
      <c r="L44" s="145"/>
      <c r="M44" s="145"/>
    </row>
    <row r="45" spans="1:13" hidden="1" x14ac:dyDescent="0.25">
      <c r="A45" s="717"/>
      <c r="B45" s="145"/>
      <c r="C45" s="145"/>
      <c r="D45" s="145"/>
      <c r="E45" s="145"/>
      <c r="F45" s="145"/>
      <c r="G45" s="145"/>
      <c r="H45" s="145"/>
      <c r="I45" s="145"/>
      <c r="J45" s="145"/>
      <c r="K45" s="717"/>
      <c r="L45" s="145"/>
      <c r="M45" s="145"/>
    </row>
    <row r="46" spans="1:13" hidden="1" x14ac:dyDescent="0.25">
      <c r="A46" s="717"/>
      <c r="B46" s="145"/>
      <c r="C46" s="145"/>
      <c r="D46" s="145"/>
      <c r="E46" s="145"/>
      <c r="F46" s="145"/>
      <c r="G46" s="145"/>
      <c r="H46" s="145"/>
      <c r="I46" s="145"/>
      <c r="J46" s="145"/>
      <c r="K46" s="717"/>
      <c r="L46" s="145"/>
      <c r="M46" s="145"/>
    </row>
    <row r="47" spans="1:13" hidden="1" x14ac:dyDescent="0.25">
      <c r="A47" s="717"/>
      <c r="B47" s="145"/>
      <c r="C47" s="145"/>
      <c r="D47" s="145"/>
      <c r="E47" s="145"/>
      <c r="F47" s="145"/>
      <c r="G47" s="145"/>
      <c r="H47" s="145"/>
      <c r="I47" s="145"/>
      <c r="J47" s="145"/>
      <c r="K47" s="717"/>
      <c r="L47" s="145"/>
      <c r="M47" s="145"/>
    </row>
    <row r="48" spans="1:13" hidden="1" x14ac:dyDescent="0.25">
      <c r="A48" s="717"/>
      <c r="B48" s="145"/>
      <c r="C48" s="145"/>
      <c r="D48" s="145"/>
      <c r="E48" s="145"/>
      <c r="F48" s="145"/>
      <c r="G48" s="145"/>
      <c r="H48" s="145"/>
      <c r="I48" s="145"/>
      <c r="J48" s="145"/>
      <c r="K48" s="717"/>
      <c r="L48" s="145"/>
      <c r="M48" s="145"/>
    </row>
    <row r="49" spans="1:13" hidden="1" x14ac:dyDescent="0.25">
      <c r="A49" s="717"/>
      <c r="B49" s="145"/>
      <c r="C49" s="145"/>
      <c r="D49" s="145"/>
      <c r="E49" s="145"/>
      <c r="F49" s="145"/>
      <c r="G49" s="145"/>
      <c r="H49" s="145"/>
      <c r="I49" s="145"/>
      <c r="J49" s="145"/>
      <c r="K49" s="717"/>
      <c r="L49" s="145"/>
      <c r="M49" s="145"/>
    </row>
    <row r="50" spans="1:13" hidden="1" x14ac:dyDescent="0.25">
      <c r="A50" s="717"/>
      <c r="B50" s="145"/>
      <c r="C50" s="145"/>
      <c r="D50" s="145"/>
      <c r="E50" s="145"/>
      <c r="F50" s="145"/>
      <c r="G50" s="145"/>
      <c r="H50" s="145"/>
      <c r="I50" s="145"/>
      <c r="J50" s="145"/>
      <c r="K50" s="717"/>
      <c r="L50" s="145"/>
      <c r="M50" s="145"/>
    </row>
    <row r="51" spans="1:13" hidden="1" x14ac:dyDescent="0.25">
      <c r="A51" s="717"/>
      <c r="B51" s="145"/>
      <c r="C51" s="145"/>
      <c r="D51" s="145"/>
      <c r="E51" s="145"/>
      <c r="F51" s="145"/>
      <c r="G51" s="145"/>
      <c r="H51" s="145"/>
      <c r="I51" s="145"/>
      <c r="J51" s="145"/>
      <c r="K51" s="717"/>
      <c r="L51" s="145"/>
      <c r="M51" s="145"/>
    </row>
    <row r="52" spans="1:13" hidden="1" x14ac:dyDescent="0.25">
      <c r="A52" s="717"/>
      <c r="B52" s="145"/>
      <c r="C52" s="145"/>
      <c r="D52" s="145"/>
      <c r="E52" s="145"/>
      <c r="F52" s="145"/>
      <c r="G52" s="145"/>
      <c r="H52" s="145"/>
      <c r="I52" s="145"/>
      <c r="J52" s="145"/>
      <c r="K52" s="717"/>
      <c r="L52" s="145"/>
      <c r="M52" s="145"/>
    </row>
    <row r="53" spans="1:13" hidden="1" x14ac:dyDescent="0.25">
      <c r="A53" s="717"/>
      <c r="B53" s="145"/>
      <c r="C53" s="145"/>
      <c r="D53" s="145"/>
      <c r="E53" s="145"/>
      <c r="F53" s="145"/>
      <c r="G53" s="145"/>
      <c r="H53" s="145"/>
      <c r="I53" s="145"/>
      <c r="J53" s="145"/>
      <c r="K53" s="717"/>
      <c r="L53" s="145"/>
      <c r="M53" s="145"/>
    </row>
    <row r="54" spans="1:13" hidden="1" x14ac:dyDescent="0.25">
      <c r="A54" s="717"/>
      <c r="B54" s="145"/>
      <c r="C54" s="145"/>
      <c r="D54" s="145"/>
      <c r="E54" s="145"/>
      <c r="F54" s="145"/>
      <c r="G54" s="145"/>
      <c r="H54" s="145"/>
      <c r="I54" s="145"/>
      <c r="J54" s="145"/>
      <c r="K54" s="717"/>
      <c r="L54" s="145"/>
      <c r="M54" s="145"/>
    </row>
    <row r="55" spans="1:13" hidden="1" x14ac:dyDescent="0.25">
      <c r="A55" s="717"/>
      <c r="B55" s="145"/>
      <c r="C55" s="145"/>
      <c r="D55" s="145"/>
      <c r="E55" s="145"/>
      <c r="F55" s="145"/>
      <c r="G55" s="145"/>
      <c r="H55" s="145"/>
      <c r="I55" s="145"/>
      <c r="J55" s="145"/>
      <c r="K55" s="717"/>
      <c r="L55" s="145"/>
      <c r="M55" s="145"/>
    </row>
    <row r="56" spans="1:13" hidden="1" x14ac:dyDescent="0.25">
      <c r="A56" s="717"/>
      <c r="B56" s="145"/>
      <c r="C56" s="145"/>
      <c r="D56" s="145"/>
      <c r="E56" s="145"/>
      <c r="F56" s="145"/>
      <c r="G56" s="145"/>
      <c r="H56" s="145"/>
      <c r="I56" s="145"/>
      <c r="J56" s="145"/>
      <c r="K56" s="717"/>
      <c r="L56" s="145"/>
      <c r="M56" s="145"/>
    </row>
    <row r="57" spans="1:13" hidden="1" x14ac:dyDescent="0.25">
      <c r="A57" s="717"/>
      <c r="B57" s="145"/>
      <c r="C57" s="145"/>
      <c r="D57" s="145"/>
      <c r="E57" s="145"/>
      <c r="F57" s="145"/>
      <c r="G57" s="145"/>
      <c r="H57" s="145"/>
      <c r="I57" s="145"/>
      <c r="J57" s="145"/>
      <c r="K57" s="717"/>
      <c r="L57" s="145"/>
      <c r="M57" s="145"/>
    </row>
    <row r="58" spans="1:13" hidden="1" x14ac:dyDescent="0.25">
      <c r="A58" s="717"/>
      <c r="B58" s="145"/>
      <c r="C58" s="145"/>
      <c r="D58" s="145"/>
      <c r="E58" s="145"/>
      <c r="F58" s="145"/>
      <c r="G58" s="145"/>
      <c r="H58" s="145"/>
      <c r="I58" s="145"/>
      <c r="J58" s="145"/>
      <c r="K58" s="717"/>
      <c r="L58" s="145"/>
      <c r="M58" s="145"/>
    </row>
    <row r="59" spans="1:13" hidden="1" x14ac:dyDescent="0.25">
      <c r="A59" s="717"/>
      <c r="B59" s="145"/>
      <c r="C59" s="145"/>
      <c r="D59" s="145"/>
      <c r="E59" s="145"/>
      <c r="F59" s="145"/>
      <c r="G59" s="145"/>
      <c r="H59" s="145"/>
      <c r="I59" s="145"/>
      <c r="J59" s="145"/>
      <c r="K59" s="717"/>
      <c r="L59" s="145"/>
      <c r="M59" s="145"/>
    </row>
    <row r="60" spans="1:13" hidden="1" x14ac:dyDescent="0.25">
      <c r="A60" s="717"/>
      <c r="B60" s="145"/>
      <c r="C60" s="145"/>
      <c r="D60" s="145"/>
      <c r="E60" s="145"/>
      <c r="F60" s="145"/>
      <c r="G60" s="145"/>
      <c r="H60" s="145"/>
      <c r="I60" s="145"/>
      <c r="J60" s="145"/>
      <c r="K60" s="717"/>
      <c r="L60" s="145"/>
      <c r="M60" s="145"/>
    </row>
    <row r="61" spans="1:13" hidden="1" x14ac:dyDescent="0.25">
      <c r="A61" s="717"/>
      <c r="B61" s="145"/>
      <c r="C61" s="145"/>
      <c r="D61" s="145"/>
      <c r="E61" s="145"/>
      <c r="F61" s="145"/>
      <c r="G61" s="145"/>
      <c r="H61" s="145"/>
      <c r="I61" s="145"/>
      <c r="J61" s="145"/>
      <c r="K61" s="717"/>
      <c r="L61" s="145"/>
      <c r="M61" s="145"/>
    </row>
    <row r="62" spans="1:13" hidden="1" x14ac:dyDescent="0.25">
      <c r="A62" s="717"/>
      <c r="B62" s="145"/>
      <c r="C62" s="145"/>
      <c r="D62" s="145"/>
      <c r="E62" s="145"/>
      <c r="F62" s="145"/>
      <c r="G62" s="145"/>
      <c r="H62" s="145"/>
      <c r="I62" s="145"/>
      <c r="J62" s="145"/>
      <c r="K62" s="717"/>
      <c r="L62" s="145"/>
      <c r="M62" s="145"/>
    </row>
    <row r="63" spans="1:13" hidden="1" x14ac:dyDescent="0.25">
      <c r="A63" s="717"/>
      <c r="B63" s="145"/>
      <c r="C63" s="145"/>
      <c r="D63" s="145"/>
      <c r="E63" s="145"/>
      <c r="F63" s="145"/>
      <c r="G63" s="145"/>
      <c r="H63" s="145"/>
      <c r="I63" s="145"/>
      <c r="J63" s="145"/>
      <c r="K63" s="717"/>
      <c r="L63" s="145"/>
      <c r="M63" s="145"/>
    </row>
    <row r="64" spans="1:13" hidden="1" x14ac:dyDescent="0.25">
      <c r="A64" s="717"/>
      <c r="B64" s="145"/>
      <c r="C64" s="145"/>
      <c r="D64" s="145"/>
      <c r="E64" s="145"/>
      <c r="F64" s="145"/>
      <c r="G64" s="145"/>
      <c r="H64" s="145"/>
      <c r="I64" s="145"/>
      <c r="J64" s="145"/>
      <c r="K64" s="717"/>
      <c r="L64" s="145"/>
      <c r="M64" s="145"/>
    </row>
    <row r="65" spans="1:13" hidden="1" x14ac:dyDescent="0.25">
      <c r="A65" s="717"/>
      <c r="B65" s="145"/>
      <c r="C65" s="145"/>
      <c r="D65" s="145"/>
      <c r="E65" s="145"/>
      <c r="F65" s="145"/>
      <c r="G65" s="145"/>
      <c r="H65" s="145"/>
      <c r="I65" s="145"/>
      <c r="J65" s="145"/>
      <c r="K65" s="717"/>
      <c r="L65" s="145"/>
      <c r="M65" s="145"/>
    </row>
    <row r="66" spans="1:13" hidden="1" x14ac:dyDescent="0.25">
      <c r="A66" s="717"/>
      <c r="B66" s="145"/>
      <c r="C66" s="145"/>
      <c r="D66" s="145"/>
      <c r="E66" s="145"/>
      <c r="F66" s="145"/>
      <c r="G66" s="145"/>
      <c r="H66" s="145"/>
      <c r="I66" s="145"/>
      <c r="J66" s="145"/>
      <c r="K66" s="717"/>
      <c r="L66" s="145"/>
      <c r="M66" s="145"/>
    </row>
    <row r="67" spans="1:13" hidden="1" x14ac:dyDescent="0.25">
      <c r="A67" s="717"/>
      <c r="B67" s="145"/>
      <c r="C67" s="145"/>
      <c r="D67" s="145"/>
      <c r="E67" s="145"/>
      <c r="F67" s="145"/>
      <c r="G67" s="145"/>
      <c r="H67" s="145"/>
      <c r="I67" s="145"/>
      <c r="J67" s="145"/>
      <c r="K67" s="717"/>
      <c r="L67" s="145"/>
      <c r="M67" s="145"/>
    </row>
    <row r="68" spans="1:13" hidden="1" x14ac:dyDescent="0.25">
      <c r="A68" s="717"/>
      <c r="B68" s="145"/>
      <c r="C68" s="145"/>
      <c r="D68" s="145"/>
      <c r="E68" s="145"/>
      <c r="F68" s="145"/>
      <c r="G68" s="145"/>
      <c r="H68" s="145"/>
      <c r="I68" s="145"/>
      <c r="J68" s="145"/>
      <c r="K68" s="717"/>
      <c r="L68" s="145"/>
      <c r="M68" s="145"/>
    </row>
    <row r="69" spans="1:13" hidden="1" x14ac:dyDescent="0.25">
      <c r="A69" s="717"/>
      <c r="B69" s="145"/>
      <c r="C69" s="145"/>
      <c r="D69" s="145"/>
      <c r="E69" s="145"/>
      <c r="F69" s="145"/>
      <c r="G69" s="145"/>
      <c r="H69" s="145"/>
      <c r="I69" s="145"/>
      <c r="J69" s="145"/>
      <c r="K69" s="717"/>
      <c r="L69" s="145"/>
      <c r="M69" s="145"/>
    </row>
    <row r="70" spans="1:13" hidden="1" x14ac:dyDescent="0.25">
      <c r="A70" s="717"/>
      <c r="B70" s="145"/>
      <c r="C70" s="145"/>
      <c r="D70" s="145"/>
      <c r="E70" s="145"/>
      <c r="F70" s="145"/>
      <c r="G70" s="145"/>
      <c r="H70" s="145"/>
      <c r="I70" s="145"/>
      <c r="J70" s="145"/>
      <c r="K70" s="717"/>
      <c r="L70" s="145"/>
      <c r="M70" s="145"/>
    </row>
    <row r="71" spans="1:13" hidden="1" x14ac:dyDescent="0.25">
      <c r="A71" s="717"/>
      <c r="B71" s="145"/>
      <c r="C71" s="145"/>
      <c r="D71" s="145"/>
      <c r="E71" s="145"/>
      <c r="F71" s="145"/>
      <c r="G71" s="145"/>
      <c r="H71" s="145"/>
      <c r="I71" s="145"/>
      <c r="J71" s="145"/>
      <c r="K71" s="717"/>
      <c r="L71" s="145"/>
      <c r="M71" s="145"/>
    </row>
    <row r="72" spans="1:13" hidden="1" x14ac:dyDescent="0.25">
      <c r="A72" s="717"/>
      <c r="B72" s="145"/>
      <c r="C72" s="145"/>
      <c r="D72" s="145"/>
      <c r="E72" s="145"/>
      <c r="F72" s="145"/>
      <c r="G72" s="145"/>
      <c r="H72" s="145"/>
      <c r="I72" s="145"/>
      <c r="J72" s="145"/>
      <c r="K72" s="717"/>
      <c r="L72" s="145"/>
      <c r="M72" s="145"/>
    </row>
    <row r="73" spans="1:13" hidden="1" x14ac:dyDescent="0.25">
      <c r="A73" s="717"/>
      <c r="B73" s="145"/>
      <c r="C73" s="145"/>
      <c r="D73" s="145"/>
      <c r="E73" s="145"/>
      <c r="F73" s="145"/>
      <c r="G73" s="145"/>
      <c r="H73" s="145"/>
      <c r="I73" s="145"/>
      <c r="J73" s="145"/>
      <c r="K73" s="717"/>
      <c r="L73" s="145"/>
      <c r="M73" s="145"/>
    </row>
    <row r="74" spans="1:13" hidden="1" x14ac:dyDescent="0.25">
      <c r="A74" s="717"/>
      <c r="B74" s="145"/>
      <c r="C74" s="145"/>
      <c r="D74" s="145"/>
      <c r="E74" s="145"/>
      <c r="F74" s="145"/>
      <c r="G74" s="145"/>
      <c r="H74" s="145"/>
      <c r="I74" s="145"/>
      <c r="J74" s="145"/>
      <c r="K74" s="717"/>
      <c r="L74" s="145"/>
      <c r="M74" s="145"/>
    </row>
    <row r="75" spans="1:13" hidden="1" x14ac:dyDescent="0.25">
      <c r="A75" s="717"/>
      <c r="B75" s="145"/>
      <c r="C75" s="145"/>
      <c r="D75" s="145"/>
      <c r="E75" s="145"/>
      <c r="F75" s="145"/>
      <c r="G75" s="145"/>
      <c r="H75" s="145"/>
      <c r="I75" s="145"/>
      <c r="J75" s="145"/>
      <c r="K75" s="717"/>
      <c r="L75" s="145"/>
      <c r="M75" s="145"/>
    </row>
    <row r="76" spans="1:13" hidden="1" x14ac:dyDescent="0.25">
      <c r="A76" s="717"/>
      <c r="B76" s="145"/>
      <c r="C76" s="145"/>
      <c r="D76" s="145"/>
      <c r="E76" s="145"/>
      <c r="F76" s="145"/>
      <c r="G76" s="145"/>
      <c r="H76" s="145"/>
      <c r="I76" s="145"/>
      <c r="J76" s="145"/>
      <c r="K76" s="717"/>
      <c r="L76" s="145"/>
      <c r="M76" s="145"/>
    </row>
    <row r="77" spans="1:13" hidden="1" x14ac:dyDescent="0.25">
      <c r="A77" s="717"/>
      <c r="B77" s="145"/>
      <c r="C77" s="145"/>
      <c r="D77" s="145"/>
      <c r="E77" s="145"/>
      <c r="F77" s="145"/>
      <c r="G77" s="145"/>
      <c r="H77" s="145"/>
      <c r="I77" s="145"/>
      <c r="J77" s="145"/>
      <c r="K77" s="717"/>
      <c r="L77" s="145"/>
      <c r="M77" s="145"/>
    </row>
    <row r="78" spans="1:13" hidden="1" x14ac:dyDescent="0.25">
      <c r="A78" s="717"/>
      <c r="B78" s="145"/>
      <c r="C78" s="145"/>
      <c r="D78" s="145"/>
      <c r="E78" s="145"/>
      <c r="F78" s="145"/>
      <c r="G78" s="145"/>
      <c r="H78" s="145"/>
      <c r="I78" s="145"/>
      <c r="J78" s="145"/>
      <c r="K78" s="717"/>
      <c r="L78" s="145"/>
      <c r="M78" s="145"/>
    </row>
    <row r="79" spans="1:13" hidden="1" x14ac:dyDescent="0.25">
      <c r="A79" s="717"/>
      <c r="B79" s="145"/>
      <c r="C79" s="145"/>
      <c r="D79" s="145"/>
      <c r="E79" s="145"/>
      <c r="F79" s="145"/>
      <c r="G79" s="145"/>
      <c r="H79" s="145"/>
      <c r="I79" s="145"/>
      <c r="J79" s="145"/>
      <c r="K79" s="717"/>
      <c r="L79" s="145"/>
      <c r="M79" s="145"/>
    </row>
    <row r="80" spans="1:13" hidden="1" x14ac:dyDescent="0.25">
      <c r="A80" s="717"/>
      <c r="B80" s="145"/>
      <c r="C80" s="145"/>
      <c r="D80" s="145"/>
      <c r="E80" s="145"/>
      <c r="F80" s="145"/>
      <c r="G80" s="145"/>
      <c r="H80" s="145"/>
      <c r="I80" s="145"/>
      <c r="J80" s="145"/>
      <c r="K80" s="717"/>
      <c r="L80" s="145"/>
      <c r="M80" s="145"/>
    </row>
    <row r="81" spans="1:13" hidden="1" x14ac:dyDescent="0.25">
      <c r="A81" s="717"/>
      <c r="B81" s="145"/>
      <c r="C81" s="145"/>
      <c r="D81" s="145"/>
      <c r="E81" s="145"/>
      <c r="F81" s="145"/>
      <c r="G81" s="145"/>
      <c r="H81" s="145"/>
      <c r="I81" s="145"/>
      <c r="J81" s="145"/>
      <c r="K81" s="717"/>
      <c r="L81" s="145"/>
      <c r="M81" s="145"/>
    </row>
    <row r="82" spans="1:13" hidden="1" x14ac:dyDescent="0.25">
      <c r="A82" s="717"/>
      <c r="B82" s="145"/>
      <c r="C82" s="145"/>
      <c r="D82" s="145"/>
      <c r="E82" s="145"/>
      <c r="F82" s="145"/>
      <c r="G82" s="145"/>
      <c r="H82" s="145"/>
      <c r="I82" s="145"/>
      <c r="J82" s="145"/>
      <c r="K82" s="717"/>
      <c r="L82" s="145"/>
      <c r="M82" s="145"/>
    </row>
    <row r="83" spans="1:13" hidden="1" x14ac:dyDescent="0.25">
      <c r="A83" s="717"/>
      <c r="B83" s="145"/>
      <c r="C83" s="145"/>
      <c r="D83" s="145"/>
      <c r="E83" s="145"/>
      <c r="F83" s="145"/>
      <c r="G83" s="145"/>
      <c r="H83" s="145"/>
      <c r="I83" s="145"/>
      <c r="J83" s="145"/>
      <c r="K83" s="717"/>
      <c r="L83" s="145"/>
      <c r="M83" s="145"/>
    </row>
    <row r="84" spans="1:13" hidden="1" x14ac:dyDescent="0.25">
      <c r="A84" s="717"/>
      <c r="B84" s="145"/>
      <c r="C84" s="145"/>
      <c r="D84" s="145"/>
      <c r="E84" s="145"/>
      <c r="F84" s="145"/>
      <c r="G84" s="145"/>
      <c r="H84" s="145"/>
      <c r="I84" s="145"/>
      <c r="J84" s="145"/>
      <c r="K84" s="717"/>
      <c r="L84" s="145"/>
      <c r="M84" s="145"/>
    </row>
    <row r="85" spans="1:13" hidden="1" x14ac:dyDescent="0.25">
      <c r="A85" s="717"/>
      <c r="B85" s="145"/>
      <c r="C85" s="145"/>
      <c r="D85" s="145"/>
      <c r="E85" s="145"/>
      <c r="F85" s="145"/>
      <c r="G85" s="145"/>
      <c r="H85" s="145"/>
      <c r="I85" s="145"/>
      <c r="J85" s="145"/>
      <c r="K85" s="717"/>
      <c r="L85" s="145"/>
      <c r="M85" s="145"/>
    </row>
    <row r="86" spans="1:13" hidden="1" x14ac:dyDescent="0.25">
      <c r="A86" s="717"/>
      <c r="B86" s="145"/>
      <c r="C86" s="145"/>
      <c r="D86" s="145"/>
      <c r="E86" s="145"/>
      <c r="F86" s="145"/>
      <c r="G86" s="145"/>
      <c r="H86" s="145"/>
      <c r="I86" s="145"/>
      <c r="J86" s="145"/>
      <c r="K86" s="717"/>
      <c r="L86" s="145"/>
      <c r="M86" s="145"/>
    </row>
    <row r="87" spans="1:13" hidden="1" x14ac:dyDescent="0.25">
      <c r="A87" s="717"/>
      <c r="B87" s="145"/>
      <c r="C87" s="145"/>
      <c r="D87" s="145"/>
      <c r="E87" s="145"/>
      <c r="F87" s="145"/>
      <c r="G87" s="145"/>
      <c r="H87" s="145"/>
      <c r="I87" s="145"/>
      <c r="J87" s="145"/>
      <c r="K87" s="717"/>
      <c r="L87" s="145"/>
      <c r="M87" s="145"/>
    </row>
    <row r="88" spans="1:13" hidden="1" x14ac:dyDescent="0.25">
      <c r="A88" s="717"/>
      <c r="B88" s="145"/>
      <c r="C88" s="145"/>
      <c r="D88" s="145"/>
      <c r="E88" s="145"/>
      <c r="F88" s="145"/>
      <c r="G88" s="145"/>
      <c r="H88" s="145"/>
      <c r="I88" s="145"/>
      <c r="J88" s="145"/>
      <c r="K88" s="717"/>
      <c r="L88" s="145"/>
      <c r="M88" s="145"/>
    </row>
    <row r="89" spans="1:13" hidden="1" x14ac:dyDescent="0.25">
      <c r="A89" s="717"/>
      <c r="B89" s="145"/>
      <c r="C89" s="145"/>
      <c r="D89" s="145"/>
      <c r="E89" s="145"/>
      <c r="F89" s="145"/>
      <c r="G89" s="145"/>
      <c r="H89" s="145"/>
      <c r="I89" s="145"/>
      <c r="J89" s="145"/>
      <c r="K89" s="717"/>
      <c r="L89" s="145"/>
      <c r="M89" s="145"/>
    </row>
    <row r="90" spans="1:13" hidden="1" x14ac:dyDescent="0.25">
      <c r="A90" s="717"/>
      <c r="B90" s="145"/>
      <c r="C90" s="145"/>
      <c r="D90" s="145"/>
      <c r="E90" s="145"/>
      <c r="F90" s="145"/>
      <c r="G90" s="145"/>
      <c r="H90" s="145"/>
      <c r="I90" s="145"/>
      <c r="J90" s="145"/>
      <c r="K90" s="717"/>
      <c r="L90" s="145"/>
      <c r="M90" s="145"/>
    </row>
    <row r="91" spans="1:13" hidden="1" x14ac:dyDescent="0.25">
      <c r="A91" s="717"/>
      <c r="B91" s="145"/>
      <c r="C91" s="145"/>
      <c r="D91" s="145"/>
      <c r="E91" s="145"/>
      <c r="F91" s="145"/>
      <c r="G91" s="145"/>
      <c r="H91" s="145"/>
      <c r="I91" s="145"/>
      <c r="J91" s="145"/>
      <c r="K91" s="717"/>
      <c r="L91" s="145"/>
      <c r="M91" s="145"/>
    </row>
    <row r="92" spans="1:13" hidden="1" x14ac:dyDescent="0.25">
      <c r="A92" s="717"/>
      <c r="B92" s="145"/>
      <c r="C92" s="145"/>
      <c r="D92" s="145"/>
      <c r="E92" s="145"/>
      <c r="F92" s="145"/>
      <c r="G92" s="145"/>
      <c r="H92" s="145"/>
      <c r="I92" s="145"/>
      <c r="J92" s="145"/>
      <c r="K92" s="717"/>
      <c r="L92" s="145"/>
      <c r="M92" s="145"/>
    </row>
    <row r="93" spans="1:13" hidden="1" x14ac:dyDescent="0.25">
      <c r="A93" s="717"/>
      <c r="B93" s="145"/>
      <c r="C93" s="145"/>
      <c r="D93" s="145"/>
      <c r="E93" s="145"/>
      <c r="F93" s="145"/>
      <c r="G93" s="145"/>
      <c r="H93" s="145"/>
      <c r="I93" s="145"/>
      <c r="J93" s="145"/>
      <c r="K93" s="717"/>
      <c r="L93" s="145"/>
      <c r="M93" s="145"/>
    </row>
    <row r="94" spans="1:13" hidden="1" x14ac:dyDescent="0.25">
      <c r="A94" s="717"/>
      <c r="B94" s="145"/>
      <c r="C94" s="145"/>
      <c r="D94" s="145"/>
      <c r="E94" s="145"/>
      <c r="F94" s="145"/>
      <c r="G94" s="145"/>
      <c r="H94" s="145"/>
      <c r="I94" s="145"/>
      <c r="J94" s="145"/>
      <c r="K94" s="717"/>
      <c r="L94" s="145"/>
      <c r="M94" s="145"/>
    </row>
    <row r="95" spans="1:13" hidden="1" x14ac:dyDescent="0.25">
      <c r="A95" s="717"/>
      <c r="B95" s="145"/>
      <c r="C95" s="145"/>
      <c r="D95" s="145"/>
      <c r="E95" s="145"/>
      <c r="F95" s="145"/>
      <c r="G95" s="145"/>
      <c r="H95" s="145"/>
      <c r="I95" s="145"/>
      <c r="J95" s="145"/>
      <c r="K95" s="717"/>
      <c r="L95" s="145"/>
      <c r="M95" s="145"/>
    </row>
    <row r="96" spans="1:13" hidden="1" x14ac:dyDescent="0.25">
      <c r="A96" s="717"/>
      <c r="B96" s="145"/>
      <c r="C96" s="145"/>
      <c r="D96" s="145"/>
      <c r="E96" s="145"/>
      <c r="F96" s="145"/>
      <c r="G96" s="145"/>
      <c r="H96" s="145"/>
      <c r="I96" s="145"/>
      <c r="J96" s="145"/>
      <c r="K96" s="717"/>
      <c r="L96" s="145"/>
      <c r="M96" s="145"/>
    </row>
    <row r="97" spans="1:13" hidden="1" x14ac:dyDescent="0.25">
      <c r="A97" s="717"/>
      <c r="B97" s="145"/>
      <c r="C97" s="145"/>
      <c r="D97" s="145"/>
      <c r="E97" s="145"/>
      <c r="F97" s="145"/>
      <c r="G97" s="145"/>
      <c r="H97" s="145"/>
      <c r="I97" s="145"/>
      <c r="J97" s="145"/>
      <c r="K97" s="717"/>
      <c r="L97" s="145"/>
      <c r="M97" s="145"/>
    </row>
    <row r="98" spans="1:13" hidden="1" x14ac:dyDescent="0.25">
      <c r="A98" s="717"/>
      <c r="B98" s="145"/>
      <c r="C98" s="145"/>
      <c r="D98" s="145"/>
      <c r="E98" s="145"/>
      <c r="F98" s="145"/>
      <c r="G98" s="145"/>
      <c r="H98" s="145"/>
      <c r="I98" s="145"/>
      <c r="J98" s="145"/>
      <c r="K98" s="717"/>
      <c r="L98" s="145"/>
      <c r="M98" s="145"/>
    </row>
    <row r="99" spans="1:13" hidden="1" x14ac:dyDescent="0.25">
      <c r="A99" s="717"/>
      <c r="B99" s="145"/>
      <c r="C99" s="145"/>
      <c r="D99" s="145"/>
      <c r="E99" s="145"/>
      <c r="F99" s="145"/>
      <c r="G99" s="145"/>
      <c r="H99" s="145"/>
      <c r="I99" s="145"/>
      <c r="J99" s="145"/>
      <c r="K99" s="717"/>
      <c r="L99" s="145"/>
      <c r="M99" s="145"/>
    </row>
    <row r="100" spans="1:13" hidden="1" x14ac:dyDescent="0.25">
      <c r="A100" s="717"/>
      <c r="B100" s="145"/>
      <c r="C100" s="145"/>
      <c r="D100" s="145"/>
      <c r="E100" s="145"/>
      <c r="F100" s="145"/>
      <c r="G100" s="145"/>
      <c r="H100" s="145"/>
      <c r="I100" s="145"/>
      <c r="J100" s="145"/>
      <c r="K100" s="717"/>
      <c r="L100" s="145"/>
      <c r="M100" s="145"/>
    </row>
    <row r="101" spans="1:13" hidden="1" x14ac:dyDescent="0.25">
      <c r="A101" s="717"/>
      <c r="B101" s="145"/>
      <c r="C101" s="145"/>
      <c r="D101" s="145"/>
      <c r="E101" s="145"/>
      <c r="F101" s="145"/>
      <c r="G101" s="145"/>
      <c r="H101" s="145"/>
      <c r="I101" s="145"/>
      <c r="J101" s="145"/>
      <c r="K101" s="717"/>
      <c r="L101" s="145"/>
      <c r="M101" s="145"/>
    </row>
    <row r="102" spans="1:13" hidden="1" x14ac:dyDescent="0.25">
      <c r="A102" s="717"/>
      <c r="B102" s="145"/>
      <c r="C102" s="145"/>
      <c r="D102" s="145"/>
      <c r="E102" s="145"/>
      <c r="F102" s="145"/>
      <c r="G102" s="145"/>
      <c r="H102" s="145"/>
      <c r="I102" s="145"/>
      <c r="J102" s="145"/>
      <c r="K102" s="717"/>
      <c r="L102" s="145"/>
      <c r="M102" s="145"/>
    </row>
    <row r="103" spans="1:13" hidden="1" x14ac:dyDescent="0.25">
      <c r="A103" s="717"/>
      <c r="B103" s="145"/>
      <c r="C103" s="145"/>
      <c r="D103" s="145"/>
      <c r="E103" s="145"/>
      <c r="F103" s="145"/>
      <c r="G103" s="145"/>
      <c r="H103" s="145"/>
      <c r="I103" s="145"/>
      <c r="J103" s="145"/>
      <c r="K103" s="717"/>
      <c r="L103" s="145"/>
      <c r="M103" s="145"/>
    </row>
    <row r="104" spans="1:13" hidden="1" x14ac:dyDescent="0.25">
      <c r="A104" s="717"/>
      <c r="B104" s="145"/>
      <c r="C104" s="145"/>
      <c r="D104" s="145"/>
      <c r="E104" s="145"/>
      <c r="F104" s="145"/>
      <c r="G104" s="145"/>
      <c r="H104" s="145"/>
      <c r="I104" s="145"/>
      <c r="J104" s="145"/>
      <c r="K104" s="717"/>
      <c r="L104" s="145"/>
      <c r="M104" s="145"/>
    </row>
    <row r="105" spans="1:13" hidden="1" x14ac:dyDescent="0.25">
      <c r="A105" s="717"/>
      <c r="B105" s="145"/>
      <c r="C105" s="145"/>
      <c r="D105" s="145"/>
      <c r="E105" s="145"/>
      <c r="F105" s="145"/>
      <c r="G105" s="145"/>
      <c r="H105" s="145"/>
      <c r="I105" s="145"/>
      <c r="J105" s="145"/>
      <c r="K105" s="717"/>
      <c r="L105" s="145"/>
      <c r="M105" s="145"/>
    </row>
    <row r="106" spans="1:13" hidden="1" x14ac:dyDescent="0.25">
      <c r="A106" s="717"/>
      <c r="B106" s="145"/>
      <c r="C106" s="145"/>
      <c r="D106" s="145"/>
      <c r="E106" s="145"/>
      <c r="F106" s="145"/>
      <c r="G106" s="145"/>
      <c r="H106" s="145"/>
      <c r="I106" s="145"/>
      <c r="J106" s="145"/>
      <c r="K106" s="717"/>
      <c r="L106" s="145"/>
      <c r="M106" s="145"/>
    </row>
    <row r="107" spans="1:13" hidden="1" x14ac:dyDescent="0.25">
      <c r="A107" s="717"/>
      <c r="B107" s="145"/>
      <c r="C107" s="145"/>
      <c r="D107" s="145"/>
      <c r="E107" s="145"/>
      <c r="F107" s="145"/>
      <c r="G107" s="145"/>
      <c r="H107" s="145"/>
      <c r="I107" s="145"/>
      <c r="J107" s="145"/>
      <c r="K107" s="717"/>
      <c r="L107" s="145"/>
      <c r="M107" s="145"/>
    </row>
    <row r="108" spans="1:13" hidden="1" x14ac:dyDescent="0.25">
      <c r="A108" s="717"/>
      <c r="B108" s="145"/>
      <c r="C108" s="145"/>
      <c r="D108" s="145"/>
      <c r="E108" s="145"/>
      <c r="F108" s="145"/>
      <c r="G108" s="145"/>
      <c r="H108" s="145"/>
      <c r="I108" s="145"/>
      <c r="J108" s="145"/>
      <c r="K108" s="717"/>
      <c r="L108" s="145"/>
      <c r="M108" s="145"/>
    </row>
    <row r="109" spans="1:13" hidden="1" x14ac:dyDescent="0.25">
      <c r="A109" s="717"/>
      <c r="B109" s="145"/>
      <c r="C109" s="145"/>
      <c r="D109" s="145"/>
      <c r="E109" s="145"/>
      <c r="F109" s="145"/>
      <c r="G109" s="145"/>
      <c r="H109" s="145"/>
      <c r="I109" s="145"/>
      <c r="J109" s="145"/>
      <c r="K109" s="717"/>
      <c r="L109" s="145"/>
      <c r="M109" s="145"/>
    </row>
    <row r="110" spans="1:13" hidden="1" x14ac:dyDescent="0.25">
      <c r="A110" s="717"/>
      <c r="B110" s="145"/>
      <c r="C110" s="145"/>
      <c r="D110" s="145"/>
      <c r="E110" s="145"/>
      <c r="F110" s="145"/>
      <c r="G110" s="145"/>
      <c r="H110" s="145"/>
      <c r="I110" s="145"/>
      <c r="J110" s="145"/>
      <c r="K110" s="717"/>
      <c r="L110" s="145"/>
      <c r="M110" s="145"/>
    </row>
    <row r="111" spans="1:13" hidden="1" x14ac:dyDescent="0.25">
      <c r="A111" s="717"/>
      <c r="B111" s="145"/>
      <c r="C111" s="145"/>
      <c r="D111" s="145"/>
      <c r="E111" s="145"/>
      <c r="F111" s="145"/>
      <c r="G111" s="145"/>
      <c r="H111" s="145"/>
      <c r="I111" s="145"/>
      <c r="J111" s="145"/>
      <c r="K111" s="717"/>
      <c r="L111" s="145"/>
      <c r="M111" s="145"/>
    </row>
  </sheetData>
  <sheetProtection password="B65E" sheet="1" objects="1" scenarios="1"/>
  <sortState xmlns:xlrd2="http://schemas.microsoft.com/office/spreadsheetml/2017/richdata2" ref="B13:C42">
    <sortCondition ref="B13"/>
  </sortState>
  <mergeCells count="37">
    <mergeCell ref="C30:J30"/>
    <mergeCell ref="C31:J31"/>
    <mergeCell ref="B10:J10"/>
    <mergeCell ref="B8:J8"/>
    <mergeCell ref="B3:J3"/>
    <mergeCell ref="B4:J4"/>
    <mergeCell ref="B5:J5"/>
    <mergeCell ref="B6:J6"/>
    <mergeCell ref="B7:J7"/>
    <mergeCell ref="B9:J9"/>
    <mergeCell ref="C13:J13"/>
    <mergeCell ref="C14:J14"/>
    <mergeCell ref="C29:J29"/>
    <mergeCell ref="C20:J20"/>
    <mergeCell ref="C21:J21"/>
    <mergeCell ref="C22:J22"/>
    <mergeCell ref="C15:J15"/>
    <mergeCell ref="C16:J16"/>
    <mergeCell ref="C17:J17"/>
    <mergeCell ref="C18:J18"/>
    <mergeCell ref="C19:J19"/>
    <mergeCell ref="C28:J28"/>
    <mergeCell ref="C23:J23"/>
    <mergeCell ref="C24:J24"/>
    <mergeCell ref="C25:J25"/>
    <mergeCell ref="C26:J26"/>
    <mergeCell ref="C27:J27"/>
    <mergeCell ref="C32:J32"/>
    <mergeCell ref="C33:J33"/>
    <mergeCell ref="C34:J34"/>
    <mergeCell ref="C35:J35"/>
    <mergeCell ref="C36:J36"/>
    <mergeCell ref="C41:J41"/>
    <mergeCell ref="C42:J42"/>
    <mergeCell ref="C37:J37"/>
    <mergeCell ref="C38:J38"/>
    <mergeCell ref="C39:J39"/>
  </mergeCells>
  <pageMargins left="0.7" right="0.7" top="0.78740157499999996" bottom="0.78740157499999996" header="0.3" footer="0.3"/>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7">
    <tabColor theme="0" tint="-0.14999847407452621"/>
  </sheetPr>
  <dimension ref="A1:AY320"/>
  <sheetViews>
    <sheetView zoomScale="70" zoomScaleNormal="70" workbookViewId="0">
      <selection activeCell="B2" sqref="B2"/>
    </sheetView>
  </sheetViews>
  <sheetFormatPr defaultColWidth="0" defaultRowHeight="15" zeroHeight="1" x14ac:dyDescent="0.25"/>
  <cols>
    <col min="1" max="1" width="8.85546875" customWidth="1"/>
    <col min="2" max="2" width="9.140625" customWidth="1"/>
    <col min="3" max="4" width="8.85546875" customWidth="1"/>
    <col min="5" max="5" width="16.140625" customWidth="1"/>
    <col min="6" max="6" width="8.85546875" customWidth="1"/>
    <col min="7" max="21" width="9.140625" customWidth="1"/>
    <col min="22" max="51" width="8.85546875" customWidth="1"/>
    <col min="52" max="16384" width="8.85546875" hidden="1"/>
  </cols>
  <sheetData>
    <row r="1" spans="1:20" x14ac:dyDescent="0.25">
      <c r="A1" s="31"/>
      <c r="K1" s="31"/>
      <c r="L1" s="31"/>
      <c r="M1" s="31"/>
      <c r="N1" s="31"/>
      <c r="O1" s="31"/>
      <c r="P1" s="31"/>
      <c r="Q1" s="145"/>
      <c r="R1" s="145"/>
      <c r="S1" s="145"/>
      <c r="T1" s="145"/>
    </row>
    <row r="2" spans="1:20" x14ac:dyDescent="0.25">
      <c r="A2" s="31"/>
      <c r="B2" s="77" t="s">
        <v>253</v>
      </c>
      <c r="K2" s="31"/>
      <c r="L2" s="31"/>
      <c r="M2" s="31"/>
      <c r="N2" s="31"/>
      <c r="O2" s="31"/>
      <c r="P2" s="31"/>
      <c r="Q2" s="145"/>
      <c r="R2" s="145"/>
      <c r="S2" s="145"/>
      <c r="T2" s="145"/>
    </row>
    <row r="3" spans="1:20" x14ac:dyDescent="0.25">
      <c r="A3" s="31"/>
      <c r="B3" s="293" t="s">
        <v>114</v>
      </c>
      <c r="C3" s="31"/>
      <c r="D3" s="31"/>
      <c r="E3" s="31"/>
      <c r="F3" s="31"/>
      <c r="G3" s="31"/>
      <c r="J3" s="31"/>
      <c r="K3" s="31"/>
      <c r="L3" s="31"/>
      <c r="M3" s="31"/>
      <c r="N3" s="31"/>
      <c r="O3" s="31"/>
      <c r="P3" s="31"/>
      <c r="Q3" s="145"/>
      <c r="R3" s="145"/>
      <c r="S3" s="145"/>
      <c r="T3" s="145"/>
    </row>
    <row r="4" spans="1:20" x14ac:dyDescent="0.25">
      <c r="A4" s="31"/>
      <c r="B4" s="293" t="s">
        <v>112</v>
      </c>
      <c r="C4" s="31"/>
      <c r="D4" s="31"/>
      <c r="E4" s="31"/>
      <c r="F4" s="31"/>
      <c r="G4" s="31"/>
      <c r="H4" s="31"/>
      <c r="I4" s="31"/>
      <c r="J4" s="31"/>
      <c r="K4" s="31"/>
      <c r="L4" s="31"/>
      <c r="M4" s="31"/>
      <c r="N4" s="31"/>
      <c r="O4" s="31"/>
      <c r="P4" s="31"/>
      <c r="Q4" s="145"/>
      <c r="R4" s="145"/>
      <c r="S4" s="145"/>
      <c r="T4" s="145"/>
    </row>
    <row r="5" spans="1:20" x14ac:dyDescent="0.25">
      <c r="A5" s="31"/>
      <c r="B5" s="293" t="s">
        <v>113</v>
      </c>
      <c r="C5" s="31"/>
      <c r="D5" s="31"/>
      <c r="E5" s="31"/>
      <c r="F5" s="31"/>
      <c r="G5" s="31"/>
      <c r="H5" s="31"/>
      <c r="I5" s="31"/>
      <c r="J5" s="31"/>
      <c r="K5" s="31"/>
      <c r="L5" s="31"/>
      <c r="M5" s="31"/>
      <c r="N5" s="31"/>
      <c r="O5" s="31"/>
      <c r="P5" s="31"/>
      <c r="Q5" s="145"/>
      <c r="R5" s="145"/>
      <c r="S5" s="145"/>
      <c r="T5" s="145"/>
    </row>
    <row r="6" spans="1:20" x14ac:dyDescent="0.25">
      <c r="A6" s="31"/>
      <c r="B6" s="31"/>
      <c r="C6" s="31"/>
      <c r="D6" s="31"/>
      <c r="E6" s="31"/>
      <c r="F6" s="31"/>
      <c r="G6" s="31"/>
      <c r="H6" s="31"/>
      <c r="I6" s="31"/>
      <c r="J6" s="31"/>
      <c r="K6" s="31"/>
      <c r="L6" s="31"/>
      <c r="M6" s="31"/>
      <c r="N6" s="31"/>
      <c r="O6" s="31"/>
      <c r="P6" s="31"/>
      <c r="Q6" s="145"/>
      <c r="R6" s="145"/>
      <c r="S6" s="145"/>
      <c r="T6" s="145"/>
    </row>
    <row r="7" spans="1:20" x14ac:dyDescent="0.25">
      <c r="A7" s="31"/>
      <c r="B7" s="77" t="s">
        <v>234</v>
      </c>
      <c r="C7" s="31"/>
      <c r="D7" s="31"/>
      <c r="E7" s="31"/>
      <c r="F7" s="31"/>
      <c r="G7" s="31"/>
      <c r="H7" s="31"/>
      <c r="I7" s="31"/>
      <c r="J7" s="31"/>
      <c r="K7" s="31"/>
      <c r="L7" s="31"/>
      <c r="M7" s="31"/>
      <c r="N7" s="31"/>
      <c r="O7" s="31"/>
      <c r="P7" s="31"/>
      <c r="Q7" s="145"/>
      <c r="R7" s="145"/>
      <c r="S7" s="145"/>
      <c r="T7" s="145"/>
    </row>
    <row r="8" spans="1:20" x14ac:dyDescent="0.25">
      <c r="A8" s="31"/>
      <c r="B8" s="293" t="s">
        <v>116</v>
      </c>
      <c r="C8" s="31"/>
      <c r="D8" s="31"/>
      <c r="E8" s="31"/>
      <c r="F8" s="31"/>
      <c r="G8" s="31"/>
      <c r="H8" s="31"/>
      <c r="I8" s="31"/>
      <c r="J8" s="31"/>
      <c r="K8" s="31"/>
      <c r="L8" s="31"/>
      <c r="M8" s="31"/>
      <c r="N8" s="31"/>
      <c r="O8" s="31"/>
      <c r="P8" s="31"/>
      <c r="Q8" s="145"/>
      <c r="R8" s="145"/>
      <c r="S8" s="145"/>
      <c r="T8" s="145"/>
    </row>
    <row r="9" spans="1:20" x14ac:dyDescent="0.25">
      <c r="A9" s="31"/>
      <c r="B9" s="293" t="s">
        <v>3</v>
      </c>
      <c r="C9" s="31"/>
      <c r="D9" s="31"/>
      <c r="E9" s="31"/>
      <c r="F9" s="31"/>
      <c r="G9" s="31"/>
      <c r="H9" s="31"/>
      <c r="I9" s="31"/>
      <c r="J9" s="31"/>
      <c r="K9" s="31"/>
      <c r="L9" s="31"/>
      <c r="M9" s="31"/>
      <c r="N9" s="31"/>
      <c r="O9" s="31"/>
      <c r="P9" s="31"/>
      <c r="Q9" s="145"/>
      <c r="R9" s="145"/>
      <c r="S9" s="145"/>
      <c r="T9" s="145"/>
    </row>
    <row r="10" spans="1:20" x14ac:dyDescent="0.25">
      <c r="A10" s="31"/>
      <c r="B10" s="293" t="s">
        <v>4</v>
      </c>
      <c r="C10" s="31"/>
      <c r="D10" s="31"/>
      <c r="E10" s="31"/>
      <c r="F10" s="31"/>
      <c r="G10" s="31"/>
      <c r="H10" s="31"/>
      <c r="I10" s="31"/>
      <c r="J10" s="31"/>
      <c r="K10" s="31"/>
      <c r="L10" s="31"/>
      <c r="M10" s="31"/>
      <c r="N10" s="31"/>
      <c r="O10" s="31"/>
      <c r="P10" s="31"/>
      <c r="Q10" s="145"/>
      <c r="R10" s="145"/>
      <c r="S10" s="145"/>
      <c r="T10" s="145"/>
    </row>
    <row r="11" spans="1:20" x14ac:dyDescent="0.25">
      <c r="A11" s="31"/>
      <c r="B11" s="293" t="s">
        <v>136</v>
      </c>
      <c r="C11" s="105"/>
      <c r="D11" s="105"/>
      <c r="E11" s="105"/>
      <c r="F11" s="105"/>
      <c r="G11" s="105"/>
      <c r="H11" s="31"/>
      <c r="I11" s="31"/>
      <c r="J11" s="31"/>
      <c r="K11" s="31"/>
      <c r="L11" s="31"/>
      <c r="M11" s="31"/>
      <c r="N11" s="31"/>
      <c r="O11" s="31"/>
      <c r="P11" s="31"/>
      <c r="Q11" s="145"/>
      <c r="R11" s="145"/>
      <c r="S11" s="145"/>
      <c r="T11" s="145"/>
    </row>
    <row r="12" spans="1:20" x14ac:dyDescent="0.25">
      <c r="A12" s="31"/>
      <c r="B12" s="31"/>
      <c r="C12" s="31"/>
      <c r="D12" s="31"/>
      <c r="E12" s="31"/>
      <c r="H12" s="105"/>
      <c r="I12" s="105"/>
      <c r="J12" s="31"/>
      <c r="K12" s="31"/>
      <c r="L12" s="31"/>
      <c r="M12" s="31"/>
      <c r="N12" s="31"/>
      <c r="O12" s="31"/>
      <c r="P12" s="31"/>
      <c r="Q12" s="145"/>
      <c r="R12" s="145"/>
      <c r="S12" s="145"/>
      <c r="T12" s="145"/>
    </row>
    <row r="13" spans="1:20" x14ac:dyDescent="0.25">
      <c r="A13" s="31"/>
      <c r="B13" s="77" t="s">
        <v>227</v>
      </c>
      <c r="C13" s="31"/>
      <c r="D13" s="31"/>
      <c r="E13" s="31"/>
      <c r="F13" s="31"/>
      <c r="G13" s="31"/>
      <c r="H13" s="31"/>
      <c r="I13" s="31"/>
      <c r="J13" s="31"/>
      <c r="K13" s="31"/>
      <c r="L13" s="31"/>
      <c r="M13" s="31"/>
      <c r="N13" s="31"/>
      <c r="O13" s="31"/>
      <c r="P13" s="31"/>
      <c r="Q13" s="145"/>
      <c r="R13" s="145"/>
      <c r="S13" s="145"/>
      <c r="T13" s="145"/>
    </row>
    <row r="14" spans="1:20" x14ac:dyDescent="0.25">
      <c r="A14" s="31"/>
      <c r="B14" s="294" t="s">
        <v>130</v>
      </c>
      <c r="C14" s="295"/>
      <c r="D14" s="296"/>
      <c r="E14" s="297">
        <f>Postup!H24</f>
        <v>45383</v>
      </c>
      <c r="F14" s="31"/>
      <c r="G14" s="31"/>
      <c r="H14" s="31"/>
      <c r="I14" s="31"/>
      <c r="J14" s="31"/>
      <c r="K14" s="31"/>
      <c r="L14" s="31"/>
      <c r="M14" s="31"/>
      <c r="N14" s="31"/>
      <c r="O14" s="31"/>
      <c r="P14" s="31"/>
      <c r="Q14" s="145"/>
      <c r="R14" s="145"/>
      <c r="S14" s="145"/>
      <c r="T14" s="145"/>
    </row>
    <row r="15" spans="1:20" x14ac:dyDescent="0.25">
      <c r="A15" s="31"/>
      <c r="B15" s="298" t="s">
        <v>236</v>
      </c>
      <c r="C15" s="299"/>
      <c r="D15" s="300"/>
      <c r="E15" s="297">
        <f>IF(ISBLANK(E14),"",DATE(YEAR(E14),1,1))</f>
        <v>45292</v>
      </c>
      <c r="F15" s="31"/>
      <c r="G15" s="31"/>
      <c r="H15" s="31"/>
      <c r="I15" s="31"/>
      <c r="J15" s="31"/>
      <c r="K15" s="31"/>
      <c r="L15" s="31"/>
      <c r="M15" s="31"/>
      <c r="N15" s="31"/>
      <c r="O15" s="31"/>
      <c r="P15" s="31"/>
      <c r="Q15" s="145"/>
      <c r="R15" s="145"/>
      <c r="S15" s="145"/>
      <c r="T15" s="145"/>
    </row>
    <row r="16" spans="1:20" x14ac:dyDescent="0.25">
      <c r="A16" s="31"/>
      <c r="B16" s="298" t="s">
        <v>128</v>
      </c>
      <c r="C16" s="299"/>
      <c r="D16" s="300"/>
      <c r="E16" s="297">
        <f>IF(ISBLANK(E14),0,IF(Postup!J24=Postup!J25,Postup!H25,DATE(YEAR(E14),12,31)))</f>
        <v>45657</v>
      </c>
      <c r="F16" s="31"/>
      <c r="G16" s="31"/>
      <c r="H16" s="31"/>
      <c r="I16" s="31"/>
      <c r="J16" s="31"/>
      <c r="K16" s="31"/>
      <c r="L16" s="31"/>
      <c r="M16" s="31"/>
      <c r="N16" s="31"/>
      <c r="O16" s="31"/>
      <c r="P16" s="31"/>
      <c r="Q16" s="145"/>
      <c r="R16" s="145"/>
      <c r="S16" s="145"/>
      <c r="T16" s="145"/>
    </row>
    <row r="17" spans="1:20" x14ac:dyDescent="0.25">
      <c r="A17" s="31"/>
      <c r="B17" s="302" t="s">
        <v>127</v>
      </c>
      <c r="C17" s="303"/>
      <c r="D17" s="304"/>
      <c r="E17" s="305">
        <f>IF(ISBLANK(E14),"",(E16-E14)/(E16-E15))</f>
        <v>0.75068493150684934</v>
      </c>
      <c r="F17" s="32"/>
      <c r="G17" s="31"/>
      <c r="H17" s="31"/>
      <c r="I17" s="31"/>
      <c r="J17" s="31"/>
      <c r="K17" s="31"/>
      <c r="L17" s="31"/>
      <c r="M17" s="31"/>
      <c r="N17" s="31"/>
      <c r="O17" s="31"/>
      <c r="P17" s="31"/>
      <c r="Q17" s="145"/>
      <c r="R17" s="145"/>
      <c r="S17" s="145"/>
      <c r="T17" s="145"/>
    </row>
    <row r="18" spans="1:20" x14ac:dyDescent="0.25">
      <c r="A18" s="31"/>
      <c r="B18" s="31"/>
      <c r="C18" s="31"/>
      <c r="D18" s="31"/>
      <c r="E18" s="31"/>
      <c r="F18" s="31"/>
      <c r="G18" s="31"/>
      <c r="H18" s="31"/>
      <c r="I18" s="31"/>
      <c r="J18" s="31"/>
      <c r="K18" s="31"/>
      <c r="L18" s="31"/>
      <c r="M18" s="31"/>
      <c r="N18" s="31"/>
      <c r="O18" s="31"/>
      <c r="P18" s="31"/>
      <c r="Q18" s="145"/>
      <c r="R18" s="145"/>
      <c r="S18" s="145"/>
      <c r="T18" s="145"/>
    </row>
    <row r="19" spans="1:20" x14ac:dyDescent="0.25">
      <c r="A19" s="31"/>
      <c r="B19" s="77" t="s">
        <v>228</v>
      </c>
      <c r="C19" s="31"/>
      <c r="D19" s="31"/>
      <c r="E19" s="31"/>
      <c r="F19" s="31"/>
      <c r="G19" s="31"/>
      <c r="H19" s="31"/>
      <c r="I19" s="31"/>
      <c r="J19" s="31"/>
      <c r="K19" s="31"/>
      <c r="L19" s="31"/>
      <c r="M19" s="31"/>
      <c r="N19" s="31"/>
      <c r="O19" s="31"/>
      <c r="P19" s="31"/>
      <c r="Q19" s="145"/>
      <c r="R19" s="145"/>
      <c r="S19" s="145"/>
      <c r="T19" s="145"/>
    </row>
    <row r="20" spans="1:20" x14ac:dyDescent="0.25">
      <c r="A20" s="31"/>
      <c r="B20" s="294" t="s">
        <v>129</v>
      </c>
      <c r="C20" s="295"/>
      <c r="D20" s="296"/>
      <c r="E20" s="297">
        <f>Postup!H25</f>
        <v>46022</v>
      </c>
      <c r="F20" s="31"/>
      <c r="G20" s="31"/>
      <c r="H20" s="31"/>
      <c r="I20" s="31"/>
      <c r="J20" s="31"/>
      <c r="K20" s="31"/>
      <c r="L20" s="31"/>
      <c r="M20" s="31"/>
      <c r="N20" s="31"/>
      <c r="O20" s="31"/>
      <c r="P20" s="31"/>
      <c r="Q20" s="145"/>
      <c r="R20" s="145"/>
      <c r="S20" s="145"/>
      <c r="T20" s="145"/>
    </row>
    <row r="21" spans="1:20" x14ac:dyDescent="0.25">
      <c r="A21" s="31"/>
      <c r="B21" s="298" t="s">
        <v>131</v>
      </c>
      <c r="C21" s="299"/>
      <c r="D21" s="300"/>
      <c r="E21" s="297">
        <f>IF(ISBLANK(E20),"",DATE(YEAR(E20),1,1))</f>
        <v>45658</v>
      </c>
      <c r="F21" s="31"/>
      <c r="G21" s="31"/>
      <c r="H21" s="31"/>
      <c r="I21" s="31"/>
      <c r="J21" s="31"/>
      <c r="K21" s="31"/>
      <c r="L21" s="31"/>
      <c r="M21" s="31"/>
      <c r="N21" s="31"/>
      <c r="O21" s="31"/>
      <c r="P21" s="31"/>
      <c r="Q21" s="145"/>
      <c r="R21" s="145"/>
      <c r="S21" s="145"/>
      <c r="T21" s="145"/>
    </row>
    <row r="22" spans="1:20" x14ac:dyDescent="0.25">
      <c r="A22" s="31"/>
      <c r="B22" s="298" t="s">
        <v>237</v>
      </c>
      <c r="C22" s="299"/>
      <c r="D22" s="300"/>
      <c r="E22" s="297">
        <f>IF(ISBLANK(E21),"",DATE(YEAR(E21),12,31))</f>
        <v>46022</v>
      </c>
      <c r="F22" s="31"/>
      <c r="G22" s="31"/>
      <c r="H22" s="31"/>
      <c r="I22" s="31"/>
      <c r="J22" s="31"/>
      <c r="K22" s="31"/>
      <c r="L22" s="31"/>
      <c r="M22" s="31"/>
      <c r="N22" s="31"/>
      <c r="O22" s="31"/>
      <c r="P22" s="31"/>
      <c r="Q22" s="145"/>
      <c r="R22" s="145"/>
      <c r="S22" s="145"/>
      <c r="T22" s="145"/>
    </row>
    <row r="23" spans="1:20" x14ac:dyDescent="0.25">
      <c r="A23" s="31"/>
      <c r="B23" s="302" t="s">
        <v>127</v>
      </c>
      <c r="C23" s="303"/>
      <c r="D23" s="304"/>
      <c r="E23" s="305">
        <f>IF(ISBLANK(E20),"",(E20-E21)/(E22-E21))</f>
        <v>1</v>
      </c>
      <c r="F23" s="32"/>
      <c r="G23" s="31"/>
      <c r="H23" s="31"/>
      <c r="I23" s="31"/>
      <c r="J23" s="31"/>
      <c r="K23" s="31"/>
      <c r="L23" s="31"/>
      <c r="M23" s="31"/>
      <c r="N23" s="31"/>
      <c r="O23" s="31"/>
      <c r="P23" s="31"/>
      <c r="Q23" s="145"/>
      <c r="R23" s="145"/>
      <c r="S23" s="145"/>
      <c r="T23" s="145"/>
    </row>
    <row r="24" spans="1:20" x14ac:dyDescent="0.25">
      <c r="A24" s="31"/>
      <c r="B24" s="78"/>
      <c r="C24" s="31"/>
      <c r="D24" s="31"/>
      <c r="E24" s="31"/>
      <c r="F24" s="32"/>
      <c r="G24" s="31"/>
      <c r="H24" s="31"/>
      <c r="I24" s="31"/>
      <c r="J24" s="31"/>
      <c r="K24" s="31"/>
      <c r="L24" s="31"/>
      <c r="M24" s="31"/>
      <c r="N24" s="31"/>
      <c r="O24" s="31"/>
      <c r="P24" s="31"/>
      <c r="Q24" s="145"/>
      <c r="R24" s="145"/>
      <c r="S24" s="145"/>
      <c r="T24" s="145"/>
    </row>
    <row r="25" spans="1:20" x14ac:dyDescent="0.25">
      <c r="A25" s="31"/>
      <c r="B25" s="77" t="s">
        <v>202</v>
      </c>
      <c r="C25" s="31"/>
      <c r="D25" s="31"/>
      <c r="E25" s="31"/>
      <c r="F25" s="31"/>
      <c r="G25" s="31"/>
      <c r="H25" s="31"/>
      <c r="I25" s="31"/>
      <c r="J25" s="31"/>
      <c r="K25" s="31"/>
      <c r="L25" s="31"/>
      <c r="M25" s="31"/>
      <c r="N25" s="31"/>
      <c r="O25" s="31"/>
      <c r="P25" s="31"/>
      <c r="Q25" s="145"/>
      <c r="R25" s="145"/>
      <c r="S25" s="145"/>
      <c r="T25" s="145"/>
    </row>
    <row r="26" spans="1:20" x14ac:dyDescent="0.25">
      <c r="A26" s="31"/>
      <c r="B26" s="293" t="s">
        <v>141</v>
      </c>
      <c r="D26" s="31"/>
      <c r="E26" s="31"/>
      <c r="F26" s="31"/>
      <c r="G26" s="31"/>
      <c r="H26" s="31"/>
      <c r="I26" s="31"/>
      <c r="J26" s="31"/>
      <c r="K26" s="31"/>
      <c r="L26" s="31"/>
      <c r="M26" s="31"/>
      <c r="N26" s="31"/>
      <c r="O26" s="31"/>
      <c r="P26" s="31"/>
      <c r="Q26" s="145"/>
      <c r="R26" s="145"/>
      <c r="S26" s="145"/>
      <c r="T26" s="145"/>
    </row>
    <row r="27" spans="1:20" x14ac:dyDescent="0.25">
      <c r="A27" s="31"/>
      <c r="B27" s="293" t="s">
        <v>142</v>
      </c>
      <c r="C27" s="31"/>
      <c r="D27" s="31"/>
      <c r="E27" s="31"/>
      <c r="F27" s="31"/>
      <c r="G27" s="31"/>
      <c r="H27" s="31"/>
      <c r="I27" s="31"/>
      <c r="J27" s="31"/>
      <c r="K27" s="31"/>
      <c r="L27" s="31"/>
      <c r="M27" s="31"/>
      <c r="N27" s="31"/>
      <c r="O27" s="31"/>
      <c r="P27" s="31"/>
      <c r="Q27" s="145"/>
      <c r="R27" s="145"/>
      <c r="S27" s="145"/>
      <c r="T27" s="145"/>
    </row>
    <row r="28" spans="1:20" x14ac:dyDescent="0.25">
      <c r="A28" s="31"/>
      <c r="B28" s="293"/>
      <c r="C28" s="31"/>
      <c r="D28" s="31"/>
      <c r="E28" s="31"/>
      <c r="F28" s="31"/>
      <c r="G28" s="31"/>
      <c r="H28" s="31"/>
      <c r="I28" s="31"/>
      <c r="J28" s="31"/>
      <c r="K28" s="31"/>
      <c r="L28" s="31"/>
      <c r="M28" s="31"/>
      <c r="N28" s="31"/>
      <c r="O28" s="31"/>
      <c r="P28" s="31"/>
      <c r="Q28" s="145"/>
      <c r="R28" s="145"/>
      <c r="S28" s="145"/>
      <c r="T28" s="145"/>
    </row>
    <row r="29" spans="1:20" x14ac:dyDescent="0.25">
      <c r="A29" s="31"/>
      <c r="B29" s="77" t="s">
        <v>180</v>
      </c>
      <c r="C29" s="31"/>
      <c r="D29" s="31"/>
      <c r="E29" s="31"/>
      <c r="F29" s="31"/>
      <c r="G29" s="31"/>
      <c r="H29" s="31"/>
      <c r="I29" s="31"/>
      <c r="J29" s="31"/>
      <c r="K29" s="31"/>
      <c r="L29" s="31"/>
      <c r="M29" s="31"/>
      <c r="N29" s="31"/>
      <c r="O29" s="31"/>
      <c r="P29" s="31"/>
      <c r="Q29" s="145"/>
      <c r="R29" s="145"/>
      <c r="S29" s="145"/>
      <c r="T29" s="145"/>
    </row>
    <row r="30" spans="1:20" x14ac:dyDescent="0.25">
      <c r="A30" s="31"/>
      <c r="B30" s="293" t="str">
        <f>Provozování!B6:C6</f>
        <v>Index cen elektrické energie</v>
      </c>
      <c r="C30" s="31"/>
      <c r="D30" s="31"/>
      <c r="E30" s="31"/>
      <c r="F30" s="31"/>
      <c r="G30" s="31"/>
      <c r="H30" s="31"/>
      <c r="I30" s="31"/>
      <c r="J30" s="31"/>
      <c r="K30" s="31"/>
      <c r="L30" s="31"/>
      <c r="M30" s="31"/>
      <c r="N30" s="31"/>
      <c r="O30" s="31"/>
      <c r="P30" s="31"/>
      <c r="Q30" s="145"/>
      <c r="R30" s="145"/>
      <c r="S30" s="145"/>
      <c r="T30" s="145"/>
    </row>
    <row r="31" spans="1:20" x14ac:dyDescent="0.25">
      <c r="A31" s="31"/>
      <c r="B31" s="293" t="str">
        <f>Provozování!B7:C7</f>
        <v>Index cen průmyslových výrobců</v>
      </c>
      <c r="C31" s="31"/>
      <c r="D31" s="31"/>
      <c r="E31" s="31"/>
      <c r="F31" s="31"/>
      <c r="G31" s="31"/>
      <c r="H31" s="31"/>
      <c r="I31" s="31"/>
      <c r="J31" s="31"/>
      <c r="K31" s="31"/>
      <c r="L31" s="31"/>
      <c r="M31" s="31"/>
      <c r="N31" s="31"/>
      <c r="O31" s="31"/>
      <c r="P31" s="31"/>
      <c r="Q31" s="145"/>
      <c r="R31" s="145"/>
      <c r="S31" s="145"/>
      <c r="T31" s="145"/>
    </row>
    <row r="32" spans="1:20" x14ac:dyDescent="0.25">
      <c r="A32" s="31"/>
      <c r="B32" s="293" t="str">
        <f>Provozování!B8:C8</f>
        <v xml:space="preserve">Index cen stavebních děl </v>
      </c>
      <c r="C32" s="31"/>
      <c r="D32" s="31"/>
      <c r="E32" s="31"/>
      <c r="F32" s="31"/>
      <c r="G32" s="31"/>
      <c r="H32" s="31"/>
      <c r="I32" s="31"/>
      <c r="J32" s="31"/>
      <c r="K32" s="31"/>
      <c r="L32" s="31"/>
      <c r="M32" s="31"/>
      <c r="N32" s="31"/>
      <c r="O32" s="31"/>
      <c r="P32" s="31"/>
      <c r="Q32" s="145"/>
      <c r="R32" s="145"/>
      <c r="S32" s="145"/>
      <c r="T32" s="145"/>
    </row>
    <row r="33" spans="1:20" x14ac:dyDescent="0.25">
      <c r="A33" s="31"/>
      <c r="B33" s="293" t="str">
        <f>Provozování!B10</f>
        <v xml:space="preserve">Index spotřebitelských cen </v>
      </c>
      <c r="C33" s="31"/>
      <c r="D33" s="31"/>
      <c r="E33" s="31"/>
      <c r="F33" s="31"/>
      <c r="G33" s="31"/>
      <c r="H33" s="31"/>
      <c r="I33" s="31"/>
      <c r="J33" s="31"/>
      <c r="K33" s="31"/>
      <c r="L33" s="31"/>
      <c r="M33" s="31"/>
      <c r="N33" s="31"/>
      <c r="O33" s="31"/>
      <c r="P33" s="31"/>
      <c r="Q33" s="145"/>
      <c r="R33" s="145"/>
      <c r="S33" s="145"/>
      <c r="T33" s="145"/>
    </row>
    <row r="34" spans="1:20" x14ac:dyDescent="0.25">
      <c r="A34" s="31"/>
      <c r="B34" s="293" t="str">
        <f>Provozování!B11</f>
        <v>Index určený Zadavatelem - [zde doplnit název]</v>
      </c>
      <c r="C34" s="31"/>
      <c r="D34" s="31"/>
      <c r="E34" s="31"/>
      <c r="F34" s="31"/>
      <c r="G34" s="31"/>
      <c r="H34" s="31"/>
      <c r="I34" s="31"/>
      <c r="J34" s="31"/>
      <c r="K34" s="31"/>
      <c r="L34" s="31"/>
      <c r="M34" s="31"/>
      <c r="N34" s="31"/>
      <c r="O34" s="31"/>
      <c r="P34" s="31"/>
      <c r="Q34" s="145"/>
      <c r="R34" s="145"/>
      <c r="S34" s="145"/>
      <c r="T34" s="145"/>
    </row>
    <row r="35" spans="1:20" x14ac:dyDescent="0.25">
      <c r="A35" s="31"/>
      <c r="B35" s="293" t="str">
        <f>Provozování!B13</f>
        <v>Mzdový index</v>
      </c>
      <c r="C35" s="31"/>
      <c r="D35" s="31"/>
      <c r="E35" s="31"/>
      <c r="F35" s="31"/>
      <c r="G35" s="31"/>
      <c r="H35" s="31"/>
      <c r="I35" s="31"/>
      <c r="J35" s="31"/>
      <c r="K35" s="31"/>
      <c r="L35" s="31"/>
      <c r="M35" s="31"/>
      <c r="N35" s="31"/>
      <c r="O35" s="31"/>
      <c r="P35" s="31"/>
      <c r="Q35" s="145"/>
      <c r="R35" s="145"/>
      <c r="S35" s="145"/>
      <c r="T35" s="145"/>
    </row>
    <row r="36" spans="1:20" x14ac:dyDescent="0.25">
      <c r="A36" s="31"/>
      <c r="B36" s="293" t="str">
        <f>Provozování!B14</f>
        <v>Složený index cen energie</v>
      </c>
      <c r="C36" s="31"/>
      <c r="D36" s="31"/>
      <c r="E36" s="31"/>
      <c r="F36" s="31"/>
      <c r="G36" s="31"/>
      <c r="H36" s="31"/>
      <c r="I36" s="31"/>
      <c r="J36" s="31"/>
      <c r="K36" s="31"/>
      <c r="L36" s="31"/>
      <c r="M36" s="31"/>
      <c r="N36" s="31"/>
      <c r="O36" s="31"/>
      <c r="P36" s="31"/>
      <c r="Q36" s="145"/>
      <c r="R36" s="145"/>
      <c r="S36" s="145"/>
      <c r="T36" s="145"/>
    </row>
    <row r="37" spans="1:20" x14ac:dyDescent="0.25">
      <c r="A37" s="31"/>
      <c r="B37" s="31"/>
      <c r="C37" s="31"/>
      <c r="D37" s="31"/>
      <c r="E37" s="31"/>
      <c r="F37" s="31"/>
      <c r="G37" s="31"/>
      <c r="H37" s="31"/>
      <c r="I37" s="31"/>
      <c r="J37" s="31"/>
      <c r="K37" s="31"/>
      <c r="L37" s="31"/>
      <c r="M37" s="31"/>
      <c r="N37" s="31"/>
      <c r="O37" s="31"/>
      <c r="P37" s="31"/>
      <c r="Q37" s="145"/>
      <c r="R37" s="145"/>
      <c r="S37" s="145"/>
      <c r="T37" s="145"/>
    </row>
    <row r="38" spans="1:20" x14ac:dyDescent="0.25">
      <c r="A38" s="31"/>
      <c r="B38" s="77" t="s">
        <v>235</v>
      </c>
      <c r="C38" s="31"/>
      <c r="D38" s="31"/>
      <c r="E38" s="31"/>
      <c r="F38" s="31"/>
      <c r="G38" s="31"/>
      <c r="H38" s="31"/>
      <c r="I38" s="31"/>
      <c r="J38" s="31"/>
      <c r="K38" s="31"/>
      <c r="L38" s="31"/>
      <c r="M38" s="31"/>
      <c r="N38" s="31"/>
      <c r="O38" s="31"/>
      <c r="P38" s="31"/>
      <c r="Q38" s="145"/>
      <c r="R38" s="145"/>
      <c r="S38" s="145"/>
      <c r="T38" s="145"/>
    </row>
    <row r="39" spans="1:20" x14ac:dyDescent="0.25">
      <c r="A39" s="31"/>
      <c r="B39" s="293" t="s">
        <v>212</v>
      </c>
      <c r="C39" s="31"/>
      <c r="D39" s="31"/>
      <c r="E39" s="31"/>
      <c r="F39" s="31"/>
      <c r="G39" s="31"/>
      <c r="H39" s="31"/>
      <c r="I39" s="31"/>
      <c r="J39" s="31"/>
      <c r="K39" s="31"/>
      <c r="L39" s="31"/>
      <c r="M39" s="31"/>
      <c r="N39" s="31"/>
      <c r="O39" s="31"/>
      <c r="P39" s="31"/>
      <c r="Q39" s="145"/>
      <c r="R39" s="145"/>
      <c r="S39" s="145"/>
      <c r="T39" s="145"/>
    </row>
    <row r="40" spans="1:20" x14ac:dyDescent="0.25">
      <c r="A40" s="31"/>
      <c r="B40" s="293" t="s">
        <v>213</v>
      </c>
      <c r="C40" s="31"/>
      <c r="D40" s="31"/>
      <c r="E40" s="31"/>
      <c r="F40" s="31"/>
      <c r="G40" s="31"/>
      <c r="H40" s="31"/>
      <c r="I40" s="31"/>
      <c r="J40" s="31"/>
      <c r="K40" s="31"/>
      <c r="L40" s="31"/>
      <c r="M40" s="31"/>
      <c r="N40" s="31"/>
      <c r="O40" s="31"/>
      <c r="P40" s="31"/>
      <c r="Q40" s="145"/>
      <c r="R40" s="145"/>
      <c r="S40" s="145"/>
      <c r="T40" s="145"/>
    </row>
    <row r="41" spans="1:20" x14ac:dyDescent="0.25">
      <c r="A41" s="31"/>
      <c r="B41" s="31"/>
      <c r="C41" s="31"/>
      <c r="D41" s="31"/>
      <c r="E41" s="31"/>
      <c r="F41" s="31"/>
      <c r="G41" s="31"/>
      <c r="H41" s="31"/>
      <c r="I41" s="31"/>
      <c r="J41" s="31"/>
      <c r="K41" s="31"/>
      <c r="L41" s="31"/>
      <c r="M41" s="31"/>
      <c r="N41" s="31"/>
      <c r="O41" s="31"/>
      <c r="P41" s="31"/>
      <c r="Q41" s="145"/>
      <c r="R41" s="145"/>
      <c r="S41" s="145"/>
      <c r="T41" s="145"/>
    </row>
    <row r="42" spans="1:20" x14ac:dyDescent="0.25">
      <c r="A42" s="31"/>
      <c r="B42" s="77" t="s">
        <v>285</v>
      </c>
      <c r="C42" s="31"/>
      <c r="D42" s="31"/>
      <c r="E42" s="31"/>
      <c r="F42" s="31"/>
      <c r="G42" s="31"/>
      <c r="H42" s="31"/>
      <c r="I42" s="31"/>
      <c r="J42" s="31"/>
      <c r="K42" s="31"/>
      <c r="L42" s="31"/>
      <c r="M42" s="31"/>
      <c r="N42" s="31"/>
      <c r="O42" s="31"/>
      <c r="P42" s="31"/>
      <c r="Q42" s="145"/>
      <c r="R42" s="145"/>
      <c r="S42" s="145"/>
      <c r="T42" s="145"/>
    </row>
    <row r="43" spans="1:20" x14ac:dyDescent="0.25">
      <c r="A43" s="31"/>
      <c r="B43" s="1158" t="s">
        <v>123</v>
      </c>
      <c r="C43" s="1159"/>
      <c r="D43" s="1159"/>
      <c r="E43" s="1159"/>
      <c r="F43" s="1159"/>
      <c r="G43" s="1160"/>
      <c r="H43" s="301">
        <f>YEAR(E14)</f>
        <v>2024</v>
      </c>
      <c r="I43" s="301">
        <f>H43+1</f>
        <v>2025</v>
      </c>
      <c r="J43" s="301">
        <f>I43+1</f>
        <v>2026</v>
      </c>
      <c r="K43" s="301">
        <f>J43+1</f>
        <v>2027</v>
      </c>
      <c r="L43" s="301">
        <f t="shared" ref="L43:R43" si="0">K43+1</f>
        <v>2028</v>
      </c>
      <c r="M43" s="301">
        <f t="shared" si="0"/>
        <v>2029</v>
      </c>
      <c r="N43" s="301">
        <f t="shared" si="0"/>
        <v>2030</v>
      </c>
      <c r="O43" s="301">
        <f t="shared" si="0"/>
        <v>2031</v>
      </c>
      <c r="P43" s="301">
        <f t="shared" si="0"/>
        <v>2032</v>
      </c>
      <c r="Q43" s="301">
        <f t="shared" si="0"/>
        <v>2033</v>
      </c>
      <c r="R43" s="294">
        <f t="shared" si="0"/>
        <v>2034</v>
      </c>
      <c r="S43" s="306"/>
      <c r="T43" s="145"/>
    </row>
    <row r="44" spans="1:20" x14ac:dyDescent="0.25">
      <c r="A44" s="31"/>
      <c r="B44" s="1158" t="s">
        <v>217</v>
      </c>
      <c r="C44" s="1159"/>
      <c r="D44" s="1159"/>
      <c r="E44" s="1159"/>
      <c r="F44" s="1159"/>
      <c r="G44" s="1160"/>
      <c r="H44" s="354" t="str">
        <f>IF(ISBLANK(Provozování!J17),"-",Provozování!J17)</f>
        <v>-</v>
      </c>
      <c r="I44" s="354" t="str">
        <f>IF(ISBLANK(Provozování!R17),"-",Provozování!R17)</f>
        <v>-</v>
      </c>
      <c r="J44" s="354" t="str">
        <f>IF(ISBLANK(Provozování!W17),"-",Provozování!W17)</f>
        <v>-</v>
      </c>
      <c r="K44" s="354" t="str">
        <f>IF(ISBLANK(Provozování!AB17),"-",Provozování!AB17)</f>
        <v>-</v>
      </c>
      <c r="L44" s="354" t="str">
        <f>IF(ISBLANK(Provozování!AG17),"-",Provozování!AG17)</f>
        <v>-</v>
      </c>
      <c r="M44" s="354" t="str">
        <f>IF(ISBLANK(Provozování!AL17),"-",Provozování!AL17)</f>
        <v>-</v>
      </c>
      <c r="N44" s="354" t="str">
        <f>IF(ISBLANK(Provozování!AQ17),"-",Provozování!AQ17)</f>
        <v>-</v>
      </c>
      <c r="O44" s="354" t="str">
        <f>IF(ISBLANK(Provozování!AV17),"-",Provozování!AV17)</f>
        <v>-</v>
      </c>
      <c r="P44" s="354" t="str">
        <f>IF(ISBLANK(Provozování!BA17),"-",Provozování!BA17)</f>
        <v>-</v>
      </c>
      <c r="Q44" s="354" t="str">
        <f>IF(ISBLANK(Provozování!BF17),"-",Provozování!BF17)</f>
        <v>-</v>
      </c>
      <c r="R44" s="355" t="str">
        <f>IF(ISBLANK(Provozování!BK17),"-",Provozování!BK17)</f>
        <v>-</v>
      </c>
      <c r="S44" s="307"/>
      <c r="T44" s="145"/>
    </row>
    <row r="45" spans="1:20" x14ac:dyDescent="0.25">
      <c r="A45" s="31"/>
      <c r="B45" s="1161" t="s">
        <v>226</v>
      </c>
      <c r="C45" s="1162"/>
      <c r="D45" s="1162"/>
      <c r="E45" s="1162"/>
      <c r="F45" s="1162"/>
      <c r="G45" s="1163"/>
      <c r="H45" s="356">
        <f t="shared" ref="H45:R45" si="1">IF(H44="-",0,(H49-H44)/(H49-H48))</f>
        <v>0</v>
      </c>
      <c r="I45" s="356">
        <f t="shared" si="1"/>
        <v>0</v>
      </c>
      <c r="J45" s="356">
        <f t="shared" si="1"/>
        <v>0</v>
      </c>
      <c r="K45" s="356">
        <f t="shared" si="1"/>
        <v>0</v>
      </c>
      <c r="L45" s="356">
        <f t="shared" si="1"/>
        <v>0</v>
      </c>
      <c r="M45" s="356">
        <f t="shared" si="1"/>
        <v>0</v>
      </c>
      <c r="N45" s="356">
        <f t="shared" si="1"/>
        <v>0</v>
      </c>
      <c r="O45" s="356">
        <f t="shared" si="1"/>
        <v>0</v>
      </c>
      <c r="P45" s="356">
        <f t="shared" si="1"/>
        <v>0</v>
      </c>
      <c r="Q45" s="356">
        <f t="shared" si="1"/>
        <v>0</v>
      </c>
      <c r="R45" s="356">
        <f t="shared" si="1"/>
        <v>0</v>
      </c>
      <c r="S45" s="308"/>
      <c r="T45" s="145"/>
    </row>
    <row r="46" spans="1:20" x14ac:dyDescent="0.25">
      <c r="A46" s="31"/>
      <c r="B46" s="1164" t="s">
        <v>244</v>
      </c>
      <c r="C46" s="1164"/>
      <c r="D46" s="1164"/>
      <c r="E46" s="1164"/>
      <c r="F46" s="1164"/>
      <c r="G46" s="1164"/>
      <c r="H46" s="350">
        <f>DATE(H43,1,1)</f>
        <v>45292</v>
      </c>
      <c r="I46" s="350">
        <f t="shared" ref="I46:R46" si="2">DATE(I43,1,1)</f>
        <v>45658</v>
      </c>
      <c r="J46" s="350">
        <f t="shared" si="2"/>
        <v>46023</v>
      </c>
      <c r="K46" s="350">
        <f t="shared" si="2"/>
        <v>46388</v>
      </c>
      <c r="L46" s="350">
        <f t="shared" si="2"/>
        <v>46753</v>
      </c>
      <c r="M46" s="350">
        <f t="shared" si="2"/>
        <v>47119</v>
      </c>
      <c r="N46" s="350">
        <f t="shared" si="2"/>
        <v>47484</v>
      </c>
      <c r="O46" s="350">
        <f t="shared" si="2"/>
        <v>47849</v>
      </c>
      <c r="P46" s="350">
        <f t="shared" si="2"/>
        <v>48214</v>
      </c>
      <c r="Q46" s="350">
        <f t="shared" si="2"/>
        <v>48580</v>
      </c>
      <c r="R46" s="351">
        <f t="shared" si="2"/>
        <v>48945</v>
      </c>
      <c r="S46" s="307"/>
      <c r="T46" s="145"/>
    </row>
    <row r="47" spans="1:20" x14ac:dyDescent="0.25">
      <c r="A47" s="31"/>
      <c r="B47" s="1164" t="s">
        <v>245</v>
      </c>
      <c r="C47" s="1164"/>
      <c r="D47" s="1164"/>
      <c r="E47" s="1164"/>
      <c r="F47" s="1164"/>
      <c r="G47" s="1164"/>
      <c r="H47" s="350">
        <f>DATE(H43,12,31)</f>
        <v>45657</v>
      </c>
      <c r="I47" s="350">
        <f t="shared" ref="I47:R47" si="3">DATE(I43,12,31)</f>
        <v>46022</v>
      </c>
      <c r="J47" s="350">
        <f t="shared" si="3"/>
        <v>46387</v>
      </c>
      <c r="K47" s="350">
        <f t="shared" si="3"/>
        <v>46752</v>
      </c>
      <c r="L47" s="350">
        <f t="shared" si="3"/>
        <v>47118</v>
      </c>
      <c r="M47" s="350">
        <f t="shared" si="3"/>
        <v>47483</v>
      </c>
      <c r="N47" s="350">
        <f t="shared" si="3"/>
        <v>47848</v>
      </c>
      <c r="O47" s="350">
        <f t="shared" si="3"/>
        <v>48213</v>
      </c>
      <c r="P47" s="350">
        <f t="shared" si="3"/>
        <v>48579</v>
      </c>
      <c r="Q47" s="350">
        <f t="shared" si="3"/>
        <v>48944</v>
      </c>
      <c r="R47" s="350">
        <f t="shared" si="3"/>
        <v>49309</v>
      </c>
      <c r="S47" s="349"/>
      <c r="T47" s="145"/>
    </row>
    <row r="48" spans="1:20" x14ac:dyDescent="0.25">
      <c r="A48" s="31"/>
      <c r="B48" s="1164" t="s">
        <v>242</v>
      </c>
      <c r="C48" s="1164"/>
      <c r="D48" s="1164"/>
      <c r="E48" s="1164"/>
      <c r="F48" s="1164"/>
      <c r="G48" s="1164"/>
      <c r="H48" s="350">
        <f>E14</f>
        <v>45383</v>
      </c>
      <c r="I48" s="354">
        <f>IF(YEAR($E$20)&gt;=I43,DATE(I43,1,1),"-")</f>
        <v>45658</v>
      </c>
      <c r="J48" s="354" t="str">
        <f t="shared" ref="J48:R48" si="4">IF(YEAR($E$20)&gt;=J43,DATE(J43,1,1),"-")</f>
        <v>-</v>
      </c>
      <c r="K48" s="354" t="str">
        <f t="shared" si="4"/>
        <v>-</v>
      </c>
      <c r="L48" s="354" t="str">
        <f t="shared" si="4"/>
        <v>-</v>
      </c>
      <c r="M48" s="354" t="str">
        <f t="shared" si="4"/>
        <v>-</v>
      </c>
      <c r="N48" s="354" t="str">
        <f t="shared" si="4"/>
        <v>-</v>
      </c>
      <c r="O48" s="354" t="str">
        <f t="shared" si="4"/>
        <v>-</v>
      </c>
      <c r="P48" s="354" t="str">
        <f t="shared" si="4"/>
        <v>-</v>
      </c>
      <c r="Q48" s="354" t="str">
        <f t="shared" si="4"/>
        <v>-</v>
      </c>
      <c r="R48" s="354" t="str">
        <f t="shared" si="4"/>
        <v>-</v>
      </c>
      <c r="S48" s="145"/>
      <c r="T48" s="145"/>
    </row>
    <row r="49" spans="1:50" x14ac:dyDescent="0.25">
      <c r="A49" s="31"/>
      <c r="B49" s="1164" t="s">
        <v>243</v>
      </c>
      <c r="C49" s="1164"/>
      <c r="D49" s="1164"/>
      <c r="E49" s="1164"/>
      <c r="F49" s="1164"/>
      <c r="G49" s="1164"/>
      <c r="H49" s="354">
        <f>DATE(H43,12,31)</f>
        <v>45657</v>
      </c>
      <c r="I49" s="354">
        <f>IF(YEAR($E$20)&gt;I43,DATE(I43,12,31),IF(YEAR($E$20)=I43,$E$20,"-"))</f>
        <v>46022</v>
      </c>
      <c r="J49" s="354" t="str">
        <f t="shared" ref="J49:R49" si="5">IF(YEAR($E$20)&gt;J43,DATE(J43,12,31),IF(YEAR($E$20)=J43,$E$20,"-"))</f>
        <v>-</v>
      </c>
      <c r="K49" s="354" t="str">
        <f t="shared" si="5"/>
        <v>-</v>
      </c>
      <c r="L49" s="354" t="str">
        <f t="shared" si="5"/>
        <v>-</v>
      </c>
      <c r="M49" s="354" t="str">
        <f t="shared" si="5"/>
        <v>-</v>
      </c>
      <c r="N49" s="354" t="str">
        <f t="shared" si="5"/>
        <v>-</v>
      </c>
      <c r="O49" s="354" t="str">
        <f t="shared" si="5"/>
        <v>-</v>
      </c>
      <c r="P49" s="354" t="str">
        <f t="shared" si="5"/>
        <v>-</v>
      </c>
      <c r="Q49" s="354" t="str">
        <f t="shared" si="5"/>
        <v>-</v>
      </c>
      <c r="R49" s="354" t="str">
        <f t="shared" si="5"/>
        <v>-</v>
      </c>
      <c r="S49" s="145"/>
      <c r="T49" s="145"/>
    </row>
    <row r="50" spans="1:50" x14ac:dyDescent="0.25">
      <c r="A50" s="31"/>
      <c r="B50" s="1168" t="s">
        <v>286</v>
      </c>
      <c r="C50" s="1168"/>
      <c r="D50" s="1168"/>
      <c r="E50" s="1168"/>
      <c r="F50" s="1168"/>
      <c r="G50" s="1168"/>
      <c r="H50" s="356">
        <f>IF(H44="-",1,(H44-H48)/(H49-H48))</f>
        <v>1</v>
      </c>
      <c r="I50" s="356">
        <f>IF(I44="-",1,(I44-I48)/(I49-I48))</f>
        <v>1</v>
      </c>
      <c r="J50" s="356">
        <f t="shared" ref="J50:R50" si="6">IF(J44="-",1,(J44-J48)/(J49-J48))</f>
        <v>1</v>
      </c>
      <c r="K50" s="356">
        <f t="shared" si="6"/>
        <v>1</v>
      </c>
      <c r="L50" s="356">
        <f t="shared" si="6"/>
        <v>1</v>
      </c>
      <c r="M50" s="356">
        <f t="shared" si="6"/>
        <v>1</v>
      </c>
      <c r="N50" s="356">
        <f t="shared" si="6"/>
        <v>1</v>
      </c>
      <c r="O50" s="356">
        <f t="shared" si="6"/>
        <v>1</v>
      </c>
      <c r="P50" s="356">
        <f t="shared" si="6"/>
        <v>1</v>
      </c>
      <c r="Q50" s="356">
        <f t="shared" si="6"/>
        <v>1</v>
      </c>
      <c r="R50" s="356">
        <f t="shared" si="6"/>
        <v>1</v>
      </c>
      <c r="S50" s="145"/>
      <c r="T50" s="145"/>
    </row>
    <row r="51" spans="1:50" x14ac:dyDescent="0.25">
      <c r="A51" s="31"/>
      <c r="B51" s="31"/>
      <c r="C51" s="31"/>
      <c r="D51" s="31"/>
      <c r="E51" s="31"/>
      <c r="F51" s="31"/>
      <c r="G51" s="31"/>
      <c r="H51" s="31"/>
      <c r="I51" s="31"/>
      <c r="J51" s="31"/>
      <c r="K51" s="31"/>
      <c r="L51" s="31"/>
      <c r="M51" s="31"/>
      <c r="N51" s="31"/>
      <c r="O51" s="31"/>
      <c r="P51" s="31"/>
      <c r="Q51" s="145"/>
      <c r="R51" s="145"/>
      <c r="S51" s="145"/>
      <c r="T51" s="145"/>
    </row>
    <row r="52" spans="1:50" ht="15.75" thickBot="1" x14ac:dyDescent="0.3">
      <c r="A52" s="31"/>
      <c r="B52" s="31"/>
      <c r="C52" s="31"/>
      <c r="D52" s="31"/>
      <c r="E52" s="31"/>
      <c r="F52" s="31"/>
      <c r="G52" s="31"/>
      <c r="H52" s="31"/>
      <c r="I52" s="31"/>
      <c r="J52" s="31"/>
      <c r="K52" s="31"/>
      <c r="L52" s="31"/>
      <c r="M52" s="31"/>
      <c r="N52" s="31"/>
      <c r="O52" s="31"/>
      <c r="P52" s="31"/>
    </row>
    <row r="53" spans="1:50" x14ac:dyDescent="0.25">
      <c r="A53" s="31"/>
      <c r="B53" s="77" t="s">
        <v>178</v>
      </c>
      <c r="C53" s="31"/>
      <c r="D53" s="31"/>
      <c r="E53" s="31"/>
      <c r="F53" s="31"/>
      <c r="G53" s="1165">
        <f>YEAR(E14)</f>
        <v>2024</v>
      </c>
      <c r="H53" s="1166"/>
      <c r="I53" s="1165" t="str">
        <f>CONCATENATE("Aktualizace ",G53)</f>
        <v>Aktualizace 2024</v>
      </c>
      <c r="J53" s="1166"/>
      <c r="K53" s="1165">
        <f>G53+1</f>
        <v>2025</v>
      </c>
      <c r="L53" s="1166"/>
      <c r="M53" s="1165" t="str">
        <f>CONCATENATE("Aktualizace ",K53)</f>
        <v>Aktualizace 2025</v>
      </c>
      <c r="N53" s="1166"/>
      <c r="O53" s="1165">
        <f>K53+1</f>
        <v>2026</v>
      </c>
      <c r="P53" s="1166"/>
      <c r="Q53" s="1165" t="str">
        <f>CONCATENATE("Aktualizace ",O53)</f>
        <v>Aktualizace 2026</v>
      </c>
      <c r="R53" s="1166"/>
      <c r="S53" s="1165">
        <f>O53+1</f>
        <v>2027</v>
      </c>
      <c r="T53" s="1166"/>
      <c r="U53" s="1165" t="str">
        <f>CONCATENATE("Aktualizace ",S53)</f>
        <v>Aktualizace 2027</v>
      </c>
      <c r="V53" s="1166"/>
      <c r="W53" s="1165">
        <f>S53+1</f>
        <v>2028</v>
      </c>
      <c r="X53" s="1166"/>
      <c r="Y53" s="1165" t="str">
        <f>CONCATENATE("Aktualizace ",W53)</f>
        <v>Aktualizace 2028</v>
      </c>
      <c r="Z53" s="1166"/>
      <c r="AA53" s="1165">
        <f>W53+1</f>
        <v>2029</v>
      </c>
      <c r="AB53" s="1166"/>
      <c r="AC53" s="1165" t="str">
        <f>CONCATENATE("Aktualizace ",AA53)</f>
        <v>Aktualizace 2029</v>
      </c>
      <c r="AD53" s="1166"/>
      <c r="AE53" s="1165">
        <f>AA53+1</f>
        <v>2030</v>
      </c>
      <c r="AF53" s="1166"/>
      <c r="AG53" s="1165" t="str">
        <f>CONCATENATE("Aktualizace ",AE53)</f>
        <v>Aktualizace 2030</v>
      </c>
      <c r="AH53" s="1166"/>
      <c r="AI53" s="1165">
        <f>AE53+1</f>
        <v>2031</v>
      </c>
      <c r="AJ53" s="1166"/>
      <c r="AK53" s="1165" t="str">
        <f>CONCATENATE("Aktualizace ",AI53)</f>
        <v>Aktualizace 2031</v>
      </c>
      <c r="AL53" s="1166"/>
      <c r="AM53" s="1165">
        <f>AI53+1</f>
        <v>2032</v>
      </c>
      <c r="AN53" s="1166"/>
      <c r="AO53" s="1165" t="str">
        <f>CONCATENATE("Aktualizace ",AM53)</f>
        <v>Aktualizace 2032</v>
      </c>
      <c r="AP53" s="1166"/>
      <c r="AQ53" s="1165">
        <f>AM53+1</f>
        <v>2033</v>
      </c>
      <c r="AR53" s="1166"/>
      <c r="AS53" s="1165" t="str">
        <f>CONCATENATE("Aktualizace ",AQ53)</f>
        <v>Aktualizace 2033</v>
      </c>
      <c r="AT53" s="1166"/>
      <c r="AU53" s="1165">
        <f>AQ53+1</f>
        <v>2034</v>
      </c>
      <c r="AV53" s="1166"/>
      <c r="AW53" s="1165" t="str">
        <f>CONCATENATE("Aktualizace ",AU53)</f>
        <v>Aktualizace 2034</v>
      </c>
      <c r="AX53" s="1166"/>
    </row>
    <row r="54" spans="1:50" x14ac:dyDescent="0.25">
      <c r="A54" s="31"/>
      <c r="B54" s="31"/>
      <c r="C54" s="31"/>
      <c r="D54" s="31"/>
      <c r="E54" s="31"/>
      <c r="F54" s="31"/>
      <c r="G54" s="358" t="s">
        <v>110</v>
      </c>
      <c r="H54" s="359" t="s">
        <v>111</v>
      </c>
      <c r="I54" s="358" t="s">
        <v>110</v>
      </c>
      <c r="J54" s="359" t="s">
        <v>111</v>
      </c>
      <c r="K54" s="358" t="s">
        <v>110</v>
      </c>
      <c r="L54" s="359" t="s">
        <v>111</v>
      </c>
      <c r="M54" s="358" t="s">
        <v>110</v>
      </c>
      <c r="N54" s="359" t="s">
        <v>111</v>
      </c>
      <c r="O54" s="358" t="s">
        <v>110</v>
      </c>
      <c r="P54" s="359" t="s">
        <v>111</v>
      </c>
      <c r="Q54" s="358" t="s">
        <v>110</v>
      </c>
      <c r="R54" s="359" t="s">
        <v>111</v>
      </c>
      <c r="S54" s="358" t="s">
        <v>110</v>
      </c>
      <c r="T54" s="359" t="s">
        <v>111</v>
      </c>
      <c r="U54" s="358" t="s">
        <v>110</v>
      </c>
      <c r="V54" s="359" t="s">
        <v>111</v>
      </c>
      <c r="W54" s="358" t="s">
        <v>110</v>
      </c>
      <c r="X54" s="359" t="s">
        <v>111</v>
      </c>
      <c r="Y54" s="358" t="s">
        <v>110</v>
      </c>
      <c r="Z54" s="359" t="s">
        <v>111</v>
      </c>
      <c r="AA54" s="358" t="s">
        <v>110</v>
      </c>
      <c r="AB54" s="359" t="s">
        <v>111</v>
      </c>
      <c r="AC54" s="358" t="s">
        <v>110</v>
      </c>
      <c r="AD54" s="359" t="s">
        <v>111</v>
      </c>
      <c r="AE54" s="358" t="s">
        <v>110</v>
      </c>
      <c r="AF54" s="359" t="s">
        <v>111</v>
      </c>
      <c r="AG54" s="358" t="s">
        <v>110</v>
      </c>
      <c r="AH54" s="359" t="s">
        <v>111</v>
      </c>
      <c r="AI54" s="358" t="s">
        <v>110</v>
      </c>
      <c r="AJ54" s="359" t="s">
        <v>111</v>
      </c>
      <c r="AK54" s="358" t="s">
        <v>110</v>
      </c>
      <c r="AL54" s="359" t="s">
        <v>111</v>
      </c>
      <c r="AM54" s="358" t="s">
        <v>110</v>
      </c>
      <c r="AN54" s="359" t="s">
        <v>111</v>
      </c>
      <c r="AO54" s="358" t="s">
        <v>110</v>
      </c>
      <c r="AP54" s="359" t="s">
        <v>111</v>
      </c>
      <c r="AQ54" s="358" t="s">
        <v>110</v>
      </c>
      <c r="AR54" s="359" t="s">
        <v>111</v>
      </c>
      <c r="AS54" s="358" t="s">
        <v>110</v>
      </c>
      <c r="AT54" s="359" t="s">
        <v>111</v>
      </c>
      <c r="AU54" s="358" t="s">
        <v>110</v>
      </c>
      <c r="AV54" s="359" t="s">
        <v>111</v>
      </c>
      <c r="AW54" s="358" t="s">
        <v>110</v>
      </c>
      <c r="AX54" s="359" t="s">
        <v>111</v>
      </c>
    </row>
    <row r="55" spans="1:50" x14ac:dyDescent="0.25">
      <c r="A55" s="31"/>
      <c r="B55" s="12" t="s">
        <v>15</v>
      </c>
      <c r="C55" s="854" t="s">
        <v>16</v>
      </c>
      <c r="D55" s="854"/>
      <c r="E55" s="854"/>
      <c r="F55" s="3" t="s">
        <v>10</v>
      </c>
      <c r="G55" s="133">
        <f>IF(AND(DAY(Postup!$H$24)=1,MONTH(Postup!$H$24)=1),Provozování!E25,Provozování!G25)</f>
        <v>5.0045657095890411E-3</v>
      </c>
      <c r="H55" s="129">
        <f>IF(AND(DAY(Postup!$H$24)=1,MONTH(Postup!$H$24)=1),Provozování!F25,Provozování!H25)</f>
        <v>3.7534225556164383E-2</v>
      </c>
      <c r="I55" s="133">
        <f>IF(Provozování!$I$16="Neaktivní",0,Provozování!I25)</f>
        <v>0</v>
      </c>
      <c r="J55" s="129">
        <f>IF(Provozování!$I$16="Neaktivní",0,Provozování!J25)</f>
        <v>0</v>
      </c>
      <c r="K55" s="133">
        <f>IF(YEAR(Postup!$H$25)&gt;$K$53,Provozování!O25,IF(AND(DAY(Postup!$H$25)=31,MONTH(Postup!$H$25)=12,YEAR(Postup!$H$25)=$K$53),Provozování!O25,IF(YEAR(Postup!$H$25)=$K$53,Provozování!$BL25,0)))</f>
        <v>6.9333326400000004E-3</v>
      </c>
      <c r="L55" s="129">
        <f>IF(YEAR(Postup!$H$25)&gt;$K$53,Provozování!P25,IF(AND(DAY(Postup!$H$25)=31,MONTH(Postup!$H$25)=12,YEAR(Postup!$H$25)=$K$53),Provozování!P25,IF(YEAR(Postup!$H$25)=$K$53,Provozování!$BM25,0)))</f>
        <v>5.1999970879999996E-2</v>
      </c>
      <c r="M55" s="133">
        <f>IF(Provozování!$Q$16="Neaktivní",0,Provozování!Q25)</f>
        <v>0</v>
      </c>
      <c r="N55" s="129">
        <f>IF(Provozování!$Q$16="Neaktivní",0,Provozování!R25)</f>
        <v>0</v>
      </c>
      <c r="O55" s="133">
        <f>IF(YEAR(Postup!$H$25)&gt;$O$53,Provozování!T25,IF(AND(DAY(Postup!$H$25)=31,MONTH(Postup!$H$25)=12,YEAR(Postup!$H$25)=$O$53),Provozování!T25,IF(YEAR(Postup!$H$25)=$O$53,Provozování!$BL25,0)))</f>
        <v>0</v>
      </c>
      <c r="P55" s="129">
        <f>IF(YEAR(Postup!$H$25)&gt;$O$53,Provozování!U25,IF(AND(DAY(Postup!$H$25)=31,MONTH(Postup!$H$25)=12,YEAR(Postup!$H$25)=$O$53),Provozování!U25,IF(YEAR(Postup!$H$25)=$O$53,Provozování!$BM25,0)))</f>
        <v>0</v>
      </c>
      <c r="Q55" s="133">
        <f>IF(Provozování!$V$16="Neaktivní",0,Provozování!V25)</f>
        <v>0</v>
      </c>
      <c r="R55" s="129">
        <f>IF(Provozování!$V$16="Neaktivní",0,Provozování!W25)</f>
        <v>0</v>
      </c>
      <c r="S55" s="133">
        <f>IF(YEAR(Postup!$H$25)&gt;$S$53,Provozování!Y25,IF(AND(DAY(Postup!$H$25)=31,MONTH(Postup!$H$25)=12,YEAR(Postup!$H$25)=$S$53),Provozování!Y25,IF(YEAR(Postup!$H$25)=$S$53,Provozování!$BL25,0)))</f>
        <v>0</v>
      </c>
      <c r="T55" s="129">
        <f>IF(YEAR(Postup!$H$25)&gt;$S$53,Provozování!Z25,IF(AND(DAY(Postup!$H$25)=31,MONTH(Postup!$H$25)=12,YEAR(Postup!$H$25)=$S$53),Provozování!Z25,IF(YEAR(Postup!$H$25)=$S$53,Provozování!$BM25,0)))</f>
        <v>0</v>
      </c>
      <c r="U55" s="133">
        <f>IF(Provozování!$AA$16="Neaktivní",0,Provozování!AA25)</f>
        <v>0</v>
      </c>
      <c r="V55" s="129">
        <f>IF(Provozování!$AA$16="Neaktivní",0,Provozování!AB25)</f>
        <v>0</v>
      </c>
      <c r="W55" s="133">
        <f>IF(YEAR(Postup!$H$25)&gt;$W$53,Provozování!AD25,IF(AND(DAY(Postup!$H$25)=31,MONTH(Postup!$H$25)=12,YEAR(Postup!$H$25)=$W$53),Provozování!AD25,IF(YEAR(Postup!$H$25)=$W$53,Provozování!$BL25,0)))</f>
        <v>0</v>
      </c>
      <c r="X55" s="129">
        <f>IF(YEAR(Postup!$H$25)&gt;$W$53,Provozování!AE25,IF(AND(DAY(Postup!$H$25)=31,MONTH(Postup!$H$25)=12,YEAR(Postup!$H$25)=$W$53),Provozování!AE25,IF(YEAR(Postup!$H$25)=$W$53,Provozování!$BM25,0)))</f>
        <v>0</v>
      </c>
      <c r="Y55" s="133">
        <f>IF(Provozování!$AF$16="Neaktivní",0,Provozování!AF25)</f>
        <v>0</v>
      </c>
      <c r="Z55" s="129">
        <f>IF(Provozování!$AF$16="Neaktivní",0,Provozování!AG25)</f>
        <v>0</v>
      </c>
      <c r="AA55" s="133">
        <f>IF(YEAR(Postup!$H$25)&gt;$AA$53,Provozování!AI25,IF(AND(DAY(Postup!$H$25)=31,MONTH(Postup!$H$25)=12,YEAR(Postup!$H$25)=$AA$53),Provozování!AI25,IF(YEAR(Postup!$H$25)=$AA$53,Provozování!$BL25,0)))</f>
        <v>0</v>
      </c>
      <c r="AB55" s="129">
        <f>IF(YEAR(Postup!$H$25)&gt;$AA$53,Provozování!AJ25,IF(AND(DAY(Postup!$H$25)=31,MONTH(Postup!$H$25)=12,YEAR(Postup!$H$25)=$AA$53),Provozování!AJ25,IF(YEAR(Postup!$H$25)=$AA$53,Provozování!$BM25,0)))</f>
        <v>0</v>
      </c>
      <c r="AC55" s="133">
        <f>IF(Provozování!$AK$16="Neaktivní",0,Provozování!AK25)</f>
        <v>0</v>
      </c>
      <c r="AD55" s="129">
        <f>IF(Provozování!$AK$16="Neaktivní",0,Provozování!AL25)</f>
        <v>0</v>
      </c>
      <c r="AE55" s="133">
        <f>IF(YEAR(Postup!$H$25)&gt;$AE$53,Provozování!AN25,IF(AND(DAY(Postup!$H$25)=31,MONTH(Postup!$H$25)=12,YEAR(Postup!$H$25)=$AE$53),Provozování!AN25,IF(YEAR(Postup!$H$25)=$AE$53,Provozování!$BL25,0)))</f>
        <v>0</v>
      </c>
      <c r="AF55" s="129">
        <f>IF(YEAR(Postup!$H$25)&gt;$AE$53,Provozování!AO25,IF(AND(DAY(Postup!$H$25)=31,MONTH(Postup!$H$25)=12,YEAR(Postup!$H$25)=$AE$53),Provozování!AO25,IF(YEAR(Postup!$H$25)=$AE$53,Provozování!$BM25,0)))</f>
        <v>0</v>
      </c>
      <c r="AG55" s="133">
        <f>IF(Provozování!$AP$16="Neaktivní",0,Provozování!AP25)</f>
        <v>0</v>
      </c>
      <c r="AH55" s="129">
        <f>IF(Provozování!$AP$16="Neaktivní",0,Provozování!AQ25)</f>
        <v>0</v>
      </c>
      <c r="AI55" s="133">
        <f>IF(YEAR(Postup!$H$25)&gt;$AI$53,Provozování!AS25,IF(AND(DAY(Postup!$H$25)=31,MONTH(Postup!$H$25)=12,YEAR(Postup!$H$25)=$AI$53),Provozování!AS25,IF(YEAR(Postup!$H$25)=$AI$53,Provozování!$BL25,0)))</f>
        <v>0</v>
      </c>
      <c r="AJ55" s="129">
        <f>IF(YEAR(Postup!$H$25)&gt;$AI$53,Provozování!AT25,IF(AND(DAY(Postup!$H$25)=31,MONTH(Postup!$H$25)=12,YEAR(Postup!$H$25)=$AI$53),Provozování!AT25,IF(YEAR(Postup!$H$25)=$AI$53,Provozování!$BM25,0)))</f>
        <v>0</v>
      </c>
      <c r="AK55" s="133">
        <f>IF(Provozování!$AU$16="Neaktivní",0,Provozování!AU25)</f>
        <v>0</v>
      </c>
      <c r="AL55" s="129">
        <f>IF(Provozování!$AU$16="Neaktivní",0,Provozování!AV25)</f>
        <v>0</v>
      </c>
      <c r="AM55" s="133">
        <f>IF(YEAR(Postup!$H$25)&gt;$AM$53,Provozování!AX25,IF(AND(DAY(Postup!$H$25)=31,MONTH(Postup!$H$25)=12,YEAR(Postup!$H$25)=$AM$53),Provozování!AX25,IF(YEAR(Postup!$H$25)=$AM$53,Provozování!$BL25,0)))</f>
        <v>0</v>
      </c>
      <c r="AN55" s="129">
        <f>IF(YEAR(Postup!$H$25)&gt;$AM$53,Provozování!AY25,IF(AND(DAY(Postup!$H$25)=31,MONTH(Postup!$H$25)=12,YEAR(Postup!$H$25)=$AM$53),Provozování!AY25,IF(YEAR(Postup!$H$25)=$AM$53,Provozování!$BM25,0)))</f>
        <v>0</v>
      </c>
      <c r="AO55" s="133">
        <f>IF(Provozování!$AZ$16="Neaktivní",0,Provozování!AZ25)</f>
        <v>0</v>
      </c>
      <c r="AP55" s="129">
        <f>IF(Provozování!$AZ$16="Neaktivní",0,Provozování!BA25)</f>
        <v>0</v>
      </c>
      <c r="AQ55" s="133">
        <f>IF(YEAR(Postup!$H$25)&gt;$AQ$53,Provozování!BC25,IF(AND(DAY(Postup!$H$25)=31,MONTH(Postup!$H$25)=12,YEAR(Postup!$H$25)=$AQ$53),Provozování!BC25,IF(YEAR(Postup!$H$25)=$AQ$53,Provozování!$BL25,0)))</f>
        <v>0</v>
      </c>
      <c r="AR55" s="129">
        <f>IF(YEAR(Postup!$H$25)&gt;$AM$53,Provozování!BD25,IF(AND(DAY(Postup!$H$25)=31,MONTH(Postup!$H$25)=12,YEAR(Postup!$H$25)=$AM$53),Provozování!BD25,IF(YEAR(Postup!$H$25)=$AM$53,Provozování!$BM25,0)))</f>
        <v>0</v>
      </c>
      <c r="AS55" s="133">
        <f>IF(Provozování!$BE$16="Neaktivní",0,Provozování!BE25)</f>
        <v>0</v>
      </c>
      <c r="AT55" s="129">
        <f>IF(Provozování!$BE$16="Neaktivní",0,Provozování!BF25)</f>
        <v>0</v>
      </c>
      <c r="AU55" s="133">
        <f>IF(YEAR(Postup!$H$25)&gt;$AU$53,Provozování!BH25,IF(AND(DAY(Postup!$H$25)=31,MONTH(Postup!$H$25)=12,YEAR(Postup!$H$25)=$AU$53),Provozování!BH25,IF(YEAR(Postup!$H$25)=$AU$53,Provozování!$BL25,0)))</f>
        <v>0</v>
      </c>
      <c r="AV55" s="129">
        <f>IF(YEAR(Postup!$H$25)&gt;$AU$53,Provozování!BI25,IF(AND(DAY(Postup!$H$25)=31,MONTH(Postup!$H$25)=12,YEAR(Postup!$H$25)=$AU$53),Provozování!BI25,IF(YEAR(Postup!$H$25)=$AU$53,Provozování!$BM25,0)))</f>
        <v>0</v>
      </c>
      <c r="AW55" s="133">
        <f>IF(Provozování!$BJ$16="Neaktivní",0,Provozování!BJ25)</f>
        <v>0</v>
      </c>
      <c r="AX55" s="129">
        <f>IF(Provozování!$BJ$16="Neaktivní",0,Provozování!BK25)</f>
        <v>0</v>
      </c>
    </row>
    <row r="56" spans="1:50" x14ac:dyDescent="0.25">
      <c r="A56" s="31"/>
      <c r="B56" s="12" t="s">
        <v>17</v>
      </c>
      <c r="C56" s="854" t="s">
        <v>18</v>
      </c>
      <c r="D56" s="854"/>
      <c r="E56" s="854"/>
      <c r="F56" s="3" t="s">
        <v>10</v>
      </c>
      <c r="G56" s="133">
        <f>IF(AND(DAY(Postup!$H$24)=1,MONTH(Postup!$H$24)=1),Provozování!E26,Provozování!G26)</f>
        <v>2.5022831047726027E-2</v>
      </c>
      <c r="H56" s="129">
        <f>IF(AND(DAY(Postup!$H$24)=1,MONTH(Postup!$H$24)=1),Provozování!F26,Provozování!H26)</f>
        <v>7.5068493150684933E-3</v>
      </c>
      <c r="I56" s="133">
        <f>IF(Provozování!$I$16="Neaktivní",0,Provozování!I26)</f>
        <v>0</v>
      </c>
      <c r="J56" s="129">
        <f>IF(Provozování!$I$16="Neaktivní",0,Provozování!J26)</f>
        <v>0</v>
      </c>
      <c r="K56" s="133">
        <f>IF(YEAR(Postup!$H$25)&gt;$K$53,Provozování!O26,IF(AND(DAY(Postup!$H$25)=31,MONTH(Postup!$H$25)=12,YEAR(Postup!$H$25)=$K$53),Provozování!O26,IF(YEAR(Postup!$H$25)=$K$53,Provozování!$BL26,0)))</f>
        <v>3.4666666663200001E-2</v>
      </c>
      <c r="L56" s="129">
        <f>IF(YEAR(Postup!$H$25)&gt;$K$53,Provozování!P26,IF(AND(DAY(Postup!$H$25)=31,MONTH(Postup!$H$25)=12,YEAR(Postup!$H$25)=$K$53),Provozování!P26,IF(YEAR(Postup!$H$25)=$K$53,Provozování!$BM26,0)))</f>
        <v>1.0400000000000001E-2</v>
      </c>
      <c r="M56" s="133">
        <f>IF(Provozování!$Q$16="Neaktivní",0,Provozování!Q26)</f>
        <v>0</v>
      </c>
      <c r="N56" s="129">
        <f>IF(Provozování!$Q$16="Neaktivní",0,Provozování!R26)</f>
        <v>0</v>
      </c>
      <c r="O56" s="133">
        <f>IF(YEAR(Postup!$H$25)&gt;$O$53,Provozování!T26,IF(AND(DAY(Postup!$H$25)=31,MONTH(Postup!$H$25)=12,YEAR(Postup!$H$25)=$O$53),Provozování!T26,IF(YEAR(Postup!$H$25)=$O$53,Provozování!$BL26,0)))</f>
        <v>0</v>
      </c>
      <c r="P56" s="129">
        <f>IF(YEAR(Postup!$H$25)&gt;$O$53,Provozování!U26,IF(AND(DAY(Postup!$H$25)=31,MONTH(Postup!$H$25)=12,YEAR(Postup!$H$25)=$O$53),Provozování!U26,IF(YEAR(Postup!$H$25)=$O$53,Provozování!$BM26,0)))</f>
        <v>0</v>
      </c>
      <c r="Q56" s="133">
        <f>IF(Provozování!$V$16="Neaktivní",0,Provozování!V26)</f>
        <v>0</v>
      </c>
      <c r="R56" s="129">
        <f>IF(Provozování!$V$16="Neaktivní",0,Provozování!W26)</f>
        <v>0</v>
      </c>
      <c r="S56" s="133">
        <f>IF(YEAR(Postup!$H$25)&gt;$S$53,Provozování!Y26,IF(AND(DAY(Postup!$H$25)=31,MONTH(Postup!$H$25)=12,YEAR(Postup!$H$25)=$S$53),Provozování!Y26,IF(YEAR(Postup!$H$25)=$S$53,Provozování!$BL26,0)))</f>
        <v>0</v>
      </c>
      <c r="T56" s="129">
        <f>IF(YEAR(Postup!$H$25)&gt;$S$53,Provozování!Z26,IF(AND(DAY(Postup!$H$25)=31,MONTH(Postup!$H$25)=12,YEAR(Postup!$H$25)=$S$53),Provozování!Z26,IF(YEAR(Postup!$H$25)=$S$53,Provozování!$BM26,0)))</f>
        <v>0</v>
      </c>
      <c r="U56" s="133">
        <f>IF(Provozování!$AA$16="Neaktivní",0,Provozování!AA26)</f>
        <v>0</v>
      </c>
      <c r="V56" s="129">
        <f>IF(Provozování!$AA$16="Neaktivní",0,Provozování!AB26)</f>
        <v>0</v>
      </c>
      <c r="W56" s="133">
        <f>IF(YEAR(Postup!$H$25)&gt;$W$53,Provozování!AD26,IF(AND(DAY(Postup!$H$25)=31,MONTH(Postup!$H$25)=12,YEAR(Postup!$H$25)=$W$53),Provozování!AD26,IF(YEAR(Postup!$H$25)=$W$53,Provozování!$BL26,0)))</f>
        <v>0</v>
      </c>
      <c r="X56" s="129">
        <f>IF(YEAR(Postup!$H$25)&gt;$W$53,Provozování!AE26,IF(AND(DAY(Postup!$H$25)=31,MONTH(Postup!$H$25)=12,YEAR(Postup!$H$25)=$W$53),Provozování!AE26,IF(YEAR(Postup!$H$25)=$W$53,Provozování!$BM26,0)))</f>
        <v>0</v>
      </c>
      <c r="Y56" s="133">
        <f>IF(Provozování!$AF$16="Neaktivní",0,Provozování!AF26)</f>
        <v>0</v>
      </c>
      <c r="Z56" s="129">
        <f>IF(Provozování!$AF$16="Neaktivní",0,Provozování!AG26)</f>
        <v>0</v>
      </c>
      <c r="AA56" s="133">
        <f>IF(YEAR(Postup!$H$25)&gt;$AA$53,Provozování!AI26,IF(AND(DAY(Postup!$H$25)=31,MONTH(Postup!$H$25)=12,YEAR(Postup!$H$25)=$AA$53),Provozování!AI26,IF(YEAR(Postup!$H$25)=$AA$53,Provozování!$BL26,0)))</f>
        <v>0</v>
      </c>
      <c r="AB56" s="129">
        <f>IF(YEAR(Postup!$H$25)&gt;$AA$53,Provozování!AJ26,IF(AND(DAY(Postup!$H$25)=31,MONTH(Postup!$H$25)=12,YEAR(Postup!$H$25)=$AA$53),Provozování!AJ26,IF(YEAR(Postup!$H$25)=$AA$53,Provozování!$BM26,0)))</f>
        <v>0</v>
      </c>
      <c r="AC56" s="133">
        <f>IF(Provozování!$AK$16="Neaktivní",0,Provozování!AK26)</f>
        <v>0</v>
      </c>
      <c r="AD56" s="129">
        <f>IF(Provozování!$AK$16="Neaktivní",0,Provozování!AL26)</f>
        <v>0</v>
      </c>
      <c r="AE56" s="133">
        <f>IF(YEAR(Postup!$H$25)&gt;$AE$53,Provozování!AN26,IF(AND(DAY(Postup!$H$25)=31,MONTH(Postup!$H$25)=12,YEAR(Postup!$H$25)=$AE$53),Provozování!AN26,IF(YEAR(Postup!$H$25)=$AE$53,Provozování!$BL26,0)))</f>
        <v>0</v>
      </c>
      <c r="AF56" s="129">
        <f>IF(YEAR(Postup!$H$25)&gt;$AE$53,Provozování!AO26,IF(AND(DAY(Postup!$H$25)=31,MONTH(Postup!$H$25)=12,YEAR(Postup!$H$25)=$AE$53),Provozování!AO26,IF(YEAR(Postup!$H$25)=$AE$53,Provozování!$BM26,0)))</f>
        <v>0</v>
      </c>
      <c r="AG56" s="133">
        <f>IF(Provozování!$AP$16="Neaktivní",0,Provozování!AP26)</f>
        <v>0</v>
      </c>
      <c r="AH56" s="129">
        <f>IF(Provozování!$AP$16="Neaktivní",0,Provozování!AQ26)</f>
        <v>0</v>
      </c>
      <c r="AI56" s="133">
        <f>IF(YEAR(Postup!$H$25)&gt;$AI$53,Provozování!AS26,IF(AND(DAY(Postup!$H$25)=31,MONTH(Postup!$H$25)=12,YEAR(Postup!$H$25)=$AI$53),Provozování!AS26,IF(YEAR(Postup!$H$25)=$AI$53,Provozování!$BL26,0)))</f>
        <v>0</v>
      </c>
      <c r="AJ56" s="129">
        <f>IF(YEAR(Postup!$H$25)&gt;$AI$53,Provozování!AT26,IF(AND(DAY(Postup!$H$25)=31,MONTH(Postup!$H$25)=12,YEAR(Postup!$H$25)=$AI$53),Provozování!AT26,IF(YEAR(Postup!$H$25)=$AI$53,Provozování!$BM26,0)))</f>
        <v>0</v>
      </c>
      <c r="AK56" s="133">
        <f>IF(Provozování!$AU$16="Neaktivní",0,Provozování!AU26)</f>
        <v>0</v>
      </c>
      <c r="AL56" s="129">
        <f>IF(Provozování!$AU$16="Neaktivní",0,Provozování!AV26)</f>
        <v>0</v>
      </c>
      <c r="AM56" s="133">
        <f>IF(YEAR(Postup!$H$25)&gt;$AM$53,Provozování!AX26,IF(AND(DAY(Postup!$H$25)=31,MONTH(Postup!$H$25)=12,YEAR(Postup!$H$25)=$AM$53),Provozování!AX26,IF(YEAR(Postup!$H$25)=$AM$53,Provozování!$BL26,0)))</f>
        <v>0</v>
      </c>
      <c r="AN56" s="129">
        <f>IF(YEAR(Postup!$H$25)&gt;$AM$53,Provozování!AY26,IF(AND(DAY(Postup!$H$25)=31,MONTH(Postup!$H$25)=12,YEAR(Postup!$H$25)=$AM$53),Provozování!AY26,IF(YEAR(Postup!$H$25)=$AM$53,Provozování!$BM26,0)))</f>
        <v>0</v>
      </c>
      <c r="AO56" s="133">
        <f>IF(Provozování!$AZ$16="Neaktivní",0,Provozování!AZ26)</f>
        <v>0</v>
      </c>
      <c r="AP56" s="129">
        <f>IF(Provozování!$AZ$16="Neaktivní",0,Provozování!BA26)</f>
        <v>0</v>
      </c>
      <c r="AQ56" s="133">
        <f>IF(YEAR(Postup!$H$25)&gt;$AQ$53,Provozování!BC26,IF(AND(DAY(Postup!$H$25)=31,MONTH(Postup!$H$25)=12,YEAR(Postup!$H$25)=$AQ$53),Provozování!BC26,IF(YEAR(Postup!$H$25)=$AQ$53,Provozování!$BL26,0)))</f>
        <v>0</v>
      </c>
      <c r="AR56" s="129">
        <f>IF(YEAR(Postup!$H$25)&gt;$AM$53,Provozování!BD26,IF(AND(DAY(Postup!$H$25)=31,MONTH(Postup!$H$25)=12,YEAR(Postup!$H$25)=$AM$53),Provozování!BD26,IF(YEAR(Postup!$H$25)=$AM$53,Provozování!$BM26,0)))</f>
        <v>0</v>
      </c>
      <c r="AS56" s="133">
        <f>IF(Provozování!$BE$16="Neaktivní",0,Provozování!BE26)</f>
        <v>0</v>
      </c>
      <c r="AT56" s="129">
        <f>IF(Provozování!$BE$16="Neaktivní",0,Provozování!BF26)</f>
        <v>0</v>
      </c>
      <c r="AU56" s="133">
        <f>IF(YEAR(Postup!$H$25)&gt;$AU$53,Provozování!BH26,IF(AND(DAY(Postup!$H$25)=31,MONTH(Postup!$H$25)=12,YEAR(Postup!$H$25)=$AU$53),Provozování!BH26,IF(YEAR(Postup!$H$25)=$AU$53,Provozování!$BL26,0)))</f>
        <v>0</v>
      </c>
      <c r="AV56" s="129">
        <f>IF(YEAR(Postup!$H$25)&gt;$AU$53,Provozování!BI26,IF(AND(DAY(Postup!$H$25)=31,MONTH(Postup!$H$25)=12,YEAR(Postup!$H$25)=$AU$53),Provozování!BI26,IF(YEAR(Postup!$H$25)=$AU$53,Provozování!$BM26,0)))</f>
        <v>0</v>
      </c>
      <c r="AW56" s="133">
        <f>IF(Provozování!$BJ$16="Neaktivní",0,Provozování!BJ26)</f>
        <v>0</v>
      </c>
      <c r="AX56" s="129">
        <f>IF(Provozování!$BJ$16="Neaktivní",0,Provozování!BK26)</f>
        <v>0</v>
      </c>
    </row>
    <row r="57" spans="1:50" hidden="1" x14ac:dyDescent="0.25">
      <c r="A57" s="31"/>
      <c r="B57" s="12"/>
      <c r="C57" s="348"/>
      <c r="D57" s="348"/>
      <c r="E57" s="348"/>
      <c r="F57" s="3"/>
      <c r="G57" s="133"/>
      <c r="H57" s="129">
        <f>IF(AND(DAY(Postup!$H$24)=1,MONTH(Postup!$H$24)=1),Provozování!F27,Provozování!H27)</f>
        <v>0.30027396959999997</v>
      </c>
      <c r="I57" s="133">
        <f>IF(Provozování!$I$16="Neaktivní",0,Provozování!I27)</f>
        <v>0</v>
      </c>
      <c r="J57" s="129">
        <f>IF(Provozování!$I$16="Neaktivní",0,Provozování!J27)</f>
        <v>0</v>
      </c>
      <c r="K57" s="133">
        <f>IF(YEAR(Postup!$H$25)&gt;$K$53,Provozování!O27,IF(AND(DAY(Postup!$H$25)=31,MONTH(Postup!$H$25)=12,YEAR(Postup!$H$25)=$K$53),Provozování!O27,IF(YEAR(Postup!$H$25)=$K$53,Provozování!$BL27,0)))</f>
        <v>3.8133329520000002E-2</v>
      </c>
      <c r="L57" s="129">
        <f>IF(YEAR(Postup!$H$25)&gt;$K$53,Provozování!P27,IF(AND(DAY(Postup!$H$25)=31,MONTH(Postup!$H$25)=12,YEAR(Postup!$H$25)=$K$53),Provozování!P27,IF(YEAR(Postup!$H$25)=$K$53,Provozování!$BM27,0)))</f>
        <v>0.41599999583999991</v>
      </c>
      <c r="M57" s="133">
        <f>IF(Provozování!$Q$16="Neaktivní",0,Provozování!Q27)</f>
        <v>0</v>
      </c>
      <c r="N57" s="129">
        <f>IF(Provozování!$Q$16="Neaktivní",0,Provozování!R27)</f>
        <v>0</v>
      </c>
      <c r="O57" s="133">
        <f>IF(YEAR(Postup!$H$25)&gt;$O$53,Provozování!T27,IF(AND(DAY(Postup!$H$25)=31,MONTH(Postup!$H$25)=12,YEAR(Postup!$H$25)=$O$53),Provozování!T27,IF(YEAR(Postup!$H$25)=$O$53,Provozování!$BL27,0)))</f>
        <v>0</v>
      </c>
      <c r="P57" s="129">
        <f>IF(YEAR(Postup!$H$25)&gt;$O$53,Provozování!U27,IF(AND(DAY(Postup!$H$25)=31,MONTH(Postup!$H$25)=12,YEAR(Postup!$H$25)=$O$53),Provozování!U27,IF(YEAR(Postup!$H$25)=$O$53,Provozování!$BM27,0)))</f>
        <v>0</v>
      </c>
      <c r="Q57" s="133">
        <f>IF(Provozování!$V$16="Neaktivní",0,Provozování!V27)</f>
        <v>0</v>
      </c>
      <c r="R57" s="129">
        <f>IF(Provozování!$V$16="Neaktivní",0,Provozování!W27)</f>
        <v>0</v>
      </c>
      <c r="S57" s="133">
        <f>IF(YEAR(Postup!$H$25)&gt;$S$53,Provozování!Y27,IF(AND(DAY(Postup!$H$25)=31,MONTH(Postup!$H$25)=12,YEAR(Postup!$H$25)=$S$53),Provozování!Y27,IF(YEAR(Postup!$H$25)=$S$53,Provozování!$BL27,0)))</f>
        <v>0</v>
      </c>
      <c r="T57" s="129">
        <f>IF(YEAR(Postup!$H$25)&gt;$S$53,Provozování!Z27,IF(AND(DAY(Postup!$H$25)=31,MONTH(Postup!$H$25)=12,YEAR(Postup!$H$25)=$S$53),Provozování!Z27,IF(YEAR(Postup!$H$25)=$S$53,Provozování!$BM27,0)))</f>
        <v>0</v>
      </c>
      <c r="U57" s="133">
        <f>IF(Provozování!$AA$16="Neaktivní",0,Provozování!AA27)</f>
        <v>0</v>
      </c>
      <c r="V57" s="129">
        <f>IF(Provozování!$AA$16="Neaktivní",0,Provozování!AB27)</f>
        <v>0</v>
      </c>
      <c r="W57" s="133">
        <f>IF(YEAR(Postup!$H$25)&gt;$W$53,Provozování!AD27,IF(AND(DAY(Postup!$H$25)=31,MONTH(Postup!$H$25)=12,YEAR(Postup!$H$25)=$W$53),Provozování!AD27,IF(YEAR(Postup!$H$25)=$W$53,Provozování!$BL27,0)))</f>
        <v>0</v>
      </c>
      <c r="X57" s="129">
        <f>IF(YEAR(Postup!$H$25)&gt;$W$53,Provozování!AE27,IF(AND(DAY(Postup!$H$25)=31,MONTH(Postup!$H$25)=12,YEAR(Postup!$H$25)=$W$53),Provozování!AE27,IF(YEAR(Postup!$H$25)=$W$53,Provozování!$BM27,0)))</f>
        <v>0</v>
      </c>
      <c r="Y57" s="133">
        <f>IF(Provozování!$AF$16="Neaktivní",0,Provozování!AF27)</f>
        <v>0</v>
      </c>
      <c r="Z57" s="129">
        <f>IF(Provozování!$AF$16="Neaktivní",0,Provozování!AG27)</f>
        <v>0</v>
      </c>
      <c r="AA57" s="133">
        <f>IF(YEAR(Postup!$H$25)&gt;$AA$53,Provozování!AI27,IF(AND(DAY(Postup!$H$25)=31,MONTH(Postup!$H$25)=12,YEAR(Postup!$H$25)=$AA$53),Provozování!AI27,IF(YEAR(Postup!$H$25)=$AA$53,Provozování!$BL27,0)))</f>
        <v>0</v>
      </c>
      <c r="AB57" s="129">
        <f>IF(YEAR(Postup!$H$25)&gt;$AA$53,Provozování!AJ27,IF(AND(DAY(Postup!$H$25)=31,MONTH(Postup!$H$25)=12,YEAR(Postup!$H$25)=$AA$53),Provozování!AJ27,IF(YEAR(Postup!$H$25)=$AA$53,Provozování!$BM27,0)))</f>
        <v>0</v>
      </c>
      <c r="AC57" s="133">
        <f>IF(Provozování!$AK$16="Neaktivní",0,Provozování!AK27)</f>
        <v>0</v>
      </c>
      <c r="AD57" s="129">
        <f>IF(Provozování!$AK$16="Neaktivní",0,Provozování!AL27)</f>
        <v>0</v>
      </c>
      <c r="AE57" s="133">
        <f>IF(YEAR(Postup!$H$25)&gt;$AE$53,Provozování!AN27,IF(AND(DAY(Postup!$H$25)=31,MONTH(Postup!$H$25)=12,YEAR(Postup!$H$25)=$AE$53),Provozování!AN27,IF(YEAR(Postup!$H$25)=$AE$53,Provozování!$BL27,0)))</f>
        <v>0</v>
      </c>
      <c r="AF57" s="129">
        <f>IF(YEAR(Postup!$H$25)&gt;$AE$53,Provozování!AO27,IF(AND(DAY(Postup!$H$25)=31,MONTH(Postup!$H$25)=12,YEAR(Postup!$H$25)=$AE$53),Provozování!AO27,IF(YEAR(Postup!$H$25)=$AE$53,Provozování!$BM27,0)))</f>
        <v>0</v>
      </c>
      <c r="AG57" s="133">
        <f>IF(Provozování!$AP$16="Neaktivní",0,Provozování!AP27)</f>
        <v>0</v>
      </c>
      <c r="AH57" s="129">
        <f>IF(Provozování!$AP$16="Neaktivní",0,Provozování!AQ27)</f>
        <v>0</v>
      </c>
      <c r="AI57" s="133">
        <f>IF(YEAR(Postup!$H$25)&gt;$AI$53,Provozování!AS27,IF(AND(DAY(Postup!$H$25)=31,MONTH(Postup!$H$25)=12,YEAR(Postup!$H$25)=$AI$53),Provozování!AS27,IF(YEAR(Postup!$H$25)=$AI$53,Provozování!$BL27,0)))</f>
        <v>0</v>
      </c>
      <c r="AJ57" s="129">
        <f>IF(YEAR(Postup!$H$25)&gt;$AI$53,Provozování!AT27,IF(AND(DAY(Postup!$H$25)=31,MONTH(Postup!$H$25)=12,YEAR(Postup!$H$25)=$AI$53),Provozování!AT27,IF(YEAR(Postup!$H$25)=$AI$53,Provozování!$BM27,0)))</f>
        <v>0</v>
      </c>
      <c r="AK57" s="133">
        <f>IF(Provozování!$AU$16="Neaktivní",0,Provozování!AU27)</f>
        <v>0</v>
      </c>
      <c r="AL57" s="129">
        <f>IF(Provozování!$AU$16="Neaktivní",0,Provozování!AV27)</f>
        <v>0</v>
      </c>
      <c r="AM57" s="133">
        <f>IF(YEAR(Postup!$H$25)&gt;$AM$53,Provozování!AX27,IF(AND(DAY(Postup!$H$25)=31,MONTH(Postup!$H$25)=12,YEAR(Postup!$H$25)=$AM$53),Provozování!AX27,IF(YEAR(Postup!$H$25)=$AM$53,Provozování!$BL27,0)))</f>
        <v>0</v>
      </c>
      <c r="AN57" s="129">
        <f>IF(YEAR(Postup!$H$25)&gt;$AM$53,Provozování!AY27,IF(AND(DAY(Postup!$H$25)=31,MONTH(Postup!$H$25)=12,YEAR(Postup!$H$25)=$AM$53),Provozování!AY27,IF(YEAR(Postup!$H$25)=$AM$53,Provozování!$BM27,0)))</f>
        <v>0</v>
      </c>
      <c r="AO57" s="133">
        <f>IF(Provozování!$AZ$16="Neaktivní",0,Provozování!AZ27)</f>
        <v>0</v>
      </c>
      <c r="AP57" s="129">
        <f>IF(Provozování!$AZ$16="Neaktivní",0,Provozování!BA27)</f>
        <v>0</v>
      </c>
      <c r="AQ57" s="133">
        <f>IF(YEAR(Postup!$H$25)&gt;$AQ$53,Provozování!BC27,IF(AND(DAY(Postup!$H$25)=31,MONTH(Postup!$H$25)=12,YEAR(Postup!$H$25)=$AQ$53),Provozování!BC27,IF(YEAR(Postup!$H$25)=$AQ$53,Provozování!$BL27,0)))</f>
        <v>0</v>
      </c>
      <c r="AR57" s="129">
        <f>IF(YEAR(Postup!$H$25)&gt;$AM$53,Provozování!BD27,IF(AND(DAY(Postup!$H$25)=31,MONTH(Postup!$H$25)=12,YEAR(Postup!$H$25)=$AM$53),Provozování!BD27,IF(YEAR(Postup!$H$25)=$AM$53,Provozování!$BM27,0)))</f>
        <v>0</v>
      </c>
      <c r="AS57" s="133">
        <f>IF(Provozování!$BE$16="Neaktivní",0,Provozování!BE27)</f>
        <v>0</v>
      </c>
      <c r="AT57" s="129">
        <f>IF(Provozování!$BE$16="Neaktivní",0,Provozování!BF27)</f>
        <v>0</v>
      </c>
      <c r="AU57" s="133">
        <f>IF(YEAR(Postup!$H$25)&gt;$AU$53,Provozování!BH27,IF(AND(DAY(Postup!$H$25)=31,MONTH(Postup!$H$25)=12,YEAR(Postup!$H$25)=$AU$53),Provozování!BH27,IF(YEAR(Postup!$H$25)=$AU$53,Provozování!$BL27,0)))</f>
        <v>0</v>
      </c>
      <c r="AV57" s="129">
        <f>IF(YEAR(Postup!$H$25)&gt;$AU$53,Provozování!BI27,IF(AND(DAY(Postup!$H$25)=31,MONTH(Postup!$H$25)=12,YEAR(Postup!$H$25)=$AU$53),Provozování!BI27,IF(YEAR(Postup!$H$25)=$AU$53,Provozování!$BM27,0)))</f>
        <v>0</v>
      </c>
      <c r="AW57" s="133">
        <f>IF(Provozování!$BJ$16="Neaktivní",0,Provozování!BJ27)</f>
        <v>0</v>
      </c>
      <c r="AX57" s="129">
        <f>IF(Provozování!$BJ$16="Neaktivní",0,Provozování!BK27)</f>
        <v>0</v>
      </c>
    </row>
    <row r="58" spans="1:50" x14ac:dyDescent="0.25">
      <c r="A58" s="31"/>
      <c r="B58" s="12" t="s">
        <v>21</v>
      </c>
      <c r="C58" s="854" t="s">
        <v>22</v>
      </c>
      <c r="D58" s="854"/>
      <c r="E58" s="854"/>
      <c r="F58" s="3" t="s">
        <v>10</v>
      </c>
      <c r="G58" s="133">
        <f>IF(AND(DAY(Postup!$H$24)=1,MONTH(Postup!$H$24)=1),Provozování!E28,Provozování!G28)</f>
        <v>2.7525111402739728E-2</v>
      </c>
      <c r="H58" s="129">
        <f>IF(AND(DAY(Postup!$H$24)=1,MONTH(Postup!$H$24)=1),Provozování!F28,Provozování!H28)</f>
        <v>0.30027396959999997</v>
      </c>
      <c r="I58" s="133">
        <f>IF(Provozování!$I$16="Neaktivní",0,Provozování!I28)</f>
        <v>0</v>
      </c>
      <c r="J58" s="129">
        <f>IF(Provozování!$I$16="Neaktivní",0,Provozování!J28)</f>
        <v>0</v>
      </c>
      <c r="K58" s="133">
        <f>IF(YEAR(Postup!$H$25)&gt;$K$53,Provozování!O28,IF(AND(DAY(Postup!$H$25)=31,MONTH(Postup!$H$25)=12,YEAR(Postup!$H$25)=$K$53),Provozování!O28,IF(YEAR(Postup!$H$25)=$K$53,Provozování!$BL28,0)))</f>
        <v>3.8133329520000002E-2</v>
      </c>
      <c r="L58" s="129">
        <f>IF(YEAR(Postup!$H$25)&gt;$K$53,Provozování!P28,IF(AND(DAY(Postup!$H$25)=31,MONTH(Postup!$H$25)=12,YEAR(Postup!$H$25)=$K$53),Provozování!P28,IF(YEAR(Postup!$H$25)=$K$53,Provozování!$BM28,0)))</f>
        <v>0.41599999583999991</v>
      </c>
      <c r="M58" s="133">
        <f>IF(Provozování!$Q$16="Neaktivní",0,Provozování!Q28)</f>
        <v>0</v>
      </c>
      <c r="N58" s="129">
        <f>IF(Provozování!$Q$16="Neaktivní",0,Provozování!R28)</f>
        <v>0</v>
      </c>
      <c r="O58" s="133">
        <f>IF(YEAR(Postup!$H$25)&gt;$O$53,Provozování!T28,IF(AND(DAY(Postup!$H$25)=31,MONTH(Postup!$H$25)=12,YEAR(Postup!$H$25)=$O$53),Provozování!T28,IF(YEAR(Postup!$H$25)=$O$53,Provozování!$BL28,0)))</f>
        <v>0</v>
      </c>
      <c r="P58" s="129">
        <f>IF(YEAR(Postup!$H$25)&gt;$O$53,Provozování!U28,IF(AND(DAY(Postup!$H$25)=31,MONTH(Postup!$H$25)=12,YEAR(Postup!$H$25)=$O$53),Provozování!U28,IF(YEAR(Postup!$H$25)=$O$53,Provozování!$BM28,0)))</f>
        <v>0</v>
      </c>
      <c r="Q58" s="133">
        <f>IF(Provozování!$V$16="Neaktivní",0,Provozování!V28)</f>
        <v>0</v>
      </c>
      <c r="R58" s="129">
        <f>IF(Provozování!$V$16="Neaktivní",0,Provozování!W28)</f>
        <v>0</v>
      </c>
      <c r="S58" s="133">
        <f>IF(YEAR(Postup!$H$25)&gt;$S$53,Provozování!Y28,IF(AND(DAY(Postup!$H$25)=31,MONTH(Postup!$H$25)=12,YEAR(Postup!$H$25)=$S$53),Provozování!Y28,IF(YEAR(Postup!$H$25)=$S$53,Provozování!$BL28,0)))</f>
        <v>0</v>
      </c>
      <c r="T58" s="129">
        <f>IF(YEAR(Postup!$H$25)&gt;$S$53,Provozování!Z28,IF(AND(DAY(Postup!$H$25)=31,MONTH(Postup!$H$25)=12,YEAR(Postup!$H$25)=$S$53),Provozování!Z28,IF(YEAR(Postup!$H$25)=$S$53,Provozování!$BM28,0)))</f>
        <v>0</v>
      </c>
      <c r="U58" s="133">
        <f>IF(Provozování!$AA$16="Neaktivní",0,Provozování!AA28)</f>
        <v>0</v>
      </c>
      <c r="V58" s="129">
        <f>IF(Provozování!$AA$16="Neaktivní",0,Provozování!AB28)</f>
        <v>0</v>
      </c>
      <c r="W58" s="133">
        <f>IF(YEAR(Postup!$H$25)&gt;$W$53,Provozování!AD28,IF(AND(DAY(Postup!$H$25)=31,MONTH(Postup!$H$25)=12,YEAR(Postup!$H$25)=$W$53),Provozování!AD28,IF(YEAR(Postup!$H$25)=$W$53,Provozování!$BL28,0)))</f>
        <v>0</v>
      </c>
      <c r="X58" s="129">
        <f>IF(YEAR(Postup!$H$25)&gt;$W$53,Provozování!AE28,IF(AND(DAY(Postup!$H$25)=31,MONTH(Postup!$H$25)=12,YEAR(Postup!$H$25)=$W$53),Provozování!AE28,IF(YEAR(Postup!$H$25)=$W$53,Provozování!$BM28,0)))</f>
        <v>0</v>
      </c>
      <c r="Y58" s="133">
        <f>IF(Provozování!$AF$16="Neaktivní",0,Provozování!AF28)</f>
        <v>0</v>
      </c>
      <c r="Z58" s="129">
        <f>IF(Provozování!$AF$16="Neaktivní",0,Provozování!AG28)</f>
        <v>0</v>
      </c>
      <c r="AA58" s="133">
        <f>IF(YEAR(Postup!$H$25)&gt;$AA$53,Provozování!AI28,IF(AND(DAY(Postup!$H$25)=31,MONTH(Postup!$H$25)=12,YEAR(Postup!$H$25)=$AA$53),Provozování!AI28,IF(YEAR(Postup!$H$25)=$AA$53,Provozování!$BL28,0)))</f>
        <v>0</v>
      </c>
      <c r="AB58" s="129">
        <f>IF(YEAR(Postup!$H$25)&gt;$AA$53,Provozování!AJ28,IF(AND(DAY(Postup!$H$25)=31,MONTH(Postup!$H$25)=12,YEAR(Postup!$H$25)=$AA$53),Provozování!AJ28,IF(YEAR(Postup!$H$25)=$AA$53,Provozování!$BM28,0)))</f>
        <v>0</v>
      </c>
      <c r="AC58" s="133">
        <f>IF(Provozování!$AK$16="Neaktivní",0,Provozování!AK28)</f>
        <v>0</v>
      </c>
      <c r="AD58" s="129">
        <f>IF(Provozování!$AK$16="Neaktivní",0,Provozování!AL28)</f>
        <v>0</v>
      </c>
      <c r="AE58" s="133">
        <f>IF(YEAR(Postup!$H$25)&gt;$AE$53,Provozování!AN28,IF(AND(DAY(Postup!$H$25)=31,MONTH(Postup!$H$25)=12,YEAR(Postup!$H$25)=$AE$53),Provozování!AN28,IF(YEAR(Postup!$H$25)=$AE$53,Provozování!$BL28,0)))</f>
        <v>0</v>
      </c>
      <c r="AF58" s="129">
        <f>IF(YEAR(Postup!$H$25)&gt;$AE$53,Provozování!AO28,IF(AND(DAY(Postup!$H$25)=31,MONTH(Postup!$H$25)=12,YEAR(Postup!$H$25)=$AE$53),Provozování!AO28,IF(YEAR(Postup!$H$25)=$AE$53,Provozování!$BM28,0)))</f>
        <v>0</v>
      </c>
      <c r="AG58" s="133">
        <f>IF(Provozování!$AP$16="Neaktivní",0,Provozování!AP28)</f>
        <v>0</v>
      </c>
      <c r="AH58" s="129">
        <f>IF(Provozování!$AP$16="Neaktivní",0,Provozování!AQ28)</f>
        <v>0</v>
      </c>
      <c r="AI58" s="133">
        <f>IF(YEAR(Postup!$H$25)&gt;$AI$53,Provozování!AS28,IF(AND(DAY(Postup!$H$25)=31,MONTH(Postup!$H$25)=12,YEAR(Postup!$H$25)=$AI$53),Provozování!AS28,IF(YEAR(Postup!$H$25)=$AI$53,Provozování!$BL28,0)))</f>
        <v>0</v>
      </c>
      <c r="AJ58" s="129">
        <f>IF(YEAR(Postup!$H$25)&gt;$AI$53,Provozování!AT28,IF(AND(DAY(Postup!$H$25)=31,MONTH(Postup!$H$25)=12,YEAR(Postup!$H$25)=$AI$53),Provozování!AT28,IF(YEAR(Postup!$H$25)=$AI$53,Provozování!$BM28,0)))</f>
        <v>0</v>
      </c>
      <c r="AK58" s="133">
        <f>IF(Provozování!$AU$16="Neaktivní",0,Provozování!AU28)</f>
        <v>0</v>
      </c>
      <c r="AL58" s="129">
        <f>IF(Provozování!$AU$16="Neaktivní",0,Provozování!AV28)</f>
        <v>0</v>
      </c>
      <c r="AM58" s="133">
        <f>IF(YEAR(Postup!$H$25)&gt;$AM$53,Provozování!AX28,IF(AND(DAY(Postup!$H$25)=31,MONTH(Postup!$H$25)=12,YEAR(Postup!$H$25)=$AM$53),Provozování!AX28,IF(YEAR(Postup!$H$25)=$AM$53,Provozování!$BL28,0)))</f>
        <v>0</v>
      </c>
      <c r="AN58" s="129">
        <f>IF(YEAR(Postup!$H$25)&gt;$AM$53,Provozování!AY28,IF(AND(DAY(Postup!$H$25)=31,MONTH(Postup!$H$25)=12,YEAR(Postup!$H$25)=$AM$53),Provozování!AY28,IF(YEAR(Postup!$H$25)=$AM$53,Provozování!$BM28,0)))</f>
        <v>0</v>
      </c>
      <c r="AO58" s="133">
        <f>IF(Provozování!$AZ$16="Neaktivní",0,Provozování!AZ28)</f>
        <v>0</v>
      </c>
      <c r="AP58" s="129">
        <f>IF(Provozování!$AZ$16="Neaktivní",0,Provozování!BA28)</f>
        <v>0</v>
      </c>
      <c r="AQ58" s="133">
        <f>IF(YEAR(Postup!$H$25)&gt;$AQ$53,Provozování!BC28,IF(AND(DAY(Postup!$H$25)=31,MONTH(Postup!$H$25)=12,YEAR(Postup!$H$25)=$AQ$53),Provozování!BC28,IF(YEAR(Postup!$H$25)=$AQ$53,Provozování!$BL28,0)))</f>
        <v>0</v>
      </c>
      <c r="AR58" s="129">
        <f>IF(YEAR(Postup!$H$25)&gt;$AM$53,Provozování!BD28,IF(AND(DAY(Postup!$H$25)=31,MONTH(Postup!$H$25)=12,YEAR(Postup!$H$25)=$AM$53),Provozování!BD28,IF(YEAR(Postup!$H$25)=$AM$53,Provozování!$BM28,0)))</f>
        <v>0</v>
      </c>
      <c r="AS58" s="133">
        <f>IF(Provozování!$BE$16="Neaktivní",0,Provozování!BE28)</f>
        <v>0</v>
      </c>
      <c r="AT58" s="129">
        <f>IF(Provozování!$BE$16="Neaktivní",0,Provozování!BF28)</f>
        <v>0</v>
      </c>
      <c r="AU58" s="133">
        <f>IF(YEAR(Postup!$H$25)&gt;$AU$53,Provozování!BH28,IF(AND(DAY(Postup!$H$25)=31,MONTH(Postup!$H$25)=12,YEAR(Postup!$H$25)=$AU$53),Provozování!BH28,IF(YEAR(Postup!$H$25)=$AU$53,Provozování!$BL28,0)))</f>
        <v>0</v>
      </c>
      <c r="AV58" s="129">
        <f>IF(YEAR(Postup!$H$25)&gt;$AU$53,Provozování!BI28,IF(AND(DAY(Postup!$H$25)=31,MONTH(Postup!$H$25)=12,YEAR(Postup!$H$25)=$AU$53),Provozování!BI28,IF(YEAR(Postup!$H$25)=$AU$53,Provozování!$BM28,0)))</f>
        <v>0</v>
      </c>
      <c r="AW58" s="133">
        <f>IF(Provozování!$BJ$16="Neaktivní",0,Provozování!BJ28)</f>
        <v>0</v>
      </c>
      <c r="AX58" s="129">
        <f>IF(Provozování!$BJ$16="Neaktivní",0,Provozování!BK28)</f>
        <v>0</v>
      </c>
    </row>
    <row r="59" spans="1:50" x14ac:dyDescent="0.25">
      <c r="A59" s="31"/>
      <c r="B59" s="12" t="s">
        <v>23</v>
      </c>
      <c r="C59" s="854" t="s">
        <v>24</v>
      </c>
      <c r="D59" s="854"/>
      <c r="E59" s="854"/>
      <c r="F59" s="3" t="s">
        <v>10</v>
      </c>
      <c r="G59" s="133">
        <f>IF(AND(DAY(Postup!$H$24)=1,MONTH(Postup!$H$24)=1),Provozování!E29,Provozování!G29)</f>
        <v>0</v>
      </c>
      <c r="H59" s="129">
        <f>IF(AND(DAY(Postup!$H$24)=1,MONTH(Postup!$H$24)=1),Provozování!F29,Provozování!H29)</f>
        <v>0</v>
      </c>
      <c r="I59" s="133">
        <f>IF(Provozování!$I$16="Neaktivní",0,Provozování!I29)</f>
        <v>0</v>
      </c>
      <c r="J59" s="129">
        <f>IF(Provozování!$I$16="Neaktivní",0,Provozování!J29)</f>
        <v>0</v>
      </c>
      <c r="K59" s="133">
        <f>IF(YEAR(Postup!$H$25)&gt;$K$53,Provozování!O29,IF(AND(DAY(Postup!$H$25)=31,MONTH(Postup!$H$25)=12,YEAR(Postup!$H$25)=$K$53),Provozování!O29,IF(YEAR(Postup!$H$25)=$K$53,Provozování!$BL29,0)))</f>
        <v>0</v>
      </c>
      <c r="L59" s="129">
        <f>IF(YEAR(Postup!$H$25)&gt;$K$53,Provozování!P29,IF(AND(DAY(Postup!$H$25)=31,MONTH(Postup!$H$25)=12,YEAR(Postup!$H$25)=$K$53),Provozování!P29,IF(YEAR(Postup!$H$25)=$K$53,Provozování!$BM29,0)))</f>
        <v>0</v>
      </c>
      <c r="M59" s="133">
        <f>IF(Provozování!$Q$16="Neaktivní",0,Provozování!Q29)</f>
        <v>0</v>
      </c>
      <c r="N59" s="129">
        <f>IF(Provozování!$Q$16="Neaktivní",0,Provozování!R29)</f>
        <v>0</v>
      </c>
      <c r="O59" s="133">
        <f>IF(YEAR(Postup!$H$25)&gt;$O$53,Provozování!T29,IF(AND(DAY(Postup!$H$25)=31,MONTH(Postup!$H$25)=12,YEAR(Postup!$H$25)=$O$53),Provozování!T29,IF(YEAR(Postup!$H$25)=$O$53,Provozování!$BL29,0)))</f>
        <v>0</v>
      </c>
      <c r="P59" s="129">
        <f>IF(YEAR(Postup!$H$25)&gt;$O$53,Provozování!U29,IF(AND(DAY(Postup!$H$25)=31,MONTH(Postup!$H$25)=12,YEAR(Postup!$H$25)=$O$53),Provozování!U29,IF(YEAR(Postup!$H$25)=$O$53,Provozování!$BM29,0)))</f>
        <v>0</v>
      </c>
      <c r="Q59" s="133">
        <f>IF(Provozování!$V$16="Neaktivní",0,Provozování!V29)</f>
        <v>0</v>
      </c>
      <c r="R59" s="129">
        <f>IF(Provozování!$V$16="Neaktivní",0,Provozování!W29)</f>
        <v>0</v>
      </c>
      <c r="S59" s="133">
        <f>IF(YEAR(Postup!$H$25)&gt;$S$53,Provozování!Y29,IF(AND(DAY(Postup!$H$25)=31,MONTH(Postup!$H$25)=12,YEAR(Postup!$H$25)=$S$53),Provozování!Y29,IF(YEAR(Postup!$H$25)=$S$53,Provozování!$BL29,0)))</f>
        <v>0</v>
      </c>
      <c r="T59" s="129">
        <f>IF(YEAR(Postup!$H$25)&gt;$S$53,Provozování!Z29,IF(AND(DAY(Postup!$H$25)=31,MONTH(Postup!$H$25)=12,YEAR(Postup!$H$25)=$S$53),Provozování!Z29,IF(YEAR(Postup!$H$25)=$S$53,Provozování!$BM29,0)))</f>
        <v>0</v>
      </c>
      <c r="U59" s="133">
        <f>IF(Provozování!$AA$16="Neaktivní",0,Provozování!AA29)</f>
        <v>0</v>
      </c>
      <c r="V59" s="129">
        <f>IF(Provozování!$AA$16="Neaktivní",0,Provozování!AB29)</f>
        <v>0</v>
      </c>
      <c r="W59" s="133">
        <f>IF(YEAR(Postup!$H$25)&gt;$W$53,Provozování!AD29,IF(AND(DAY(Postup!$H$25)=31,MONTH(Postup!$H$25)=12,YEAR(Postup!$H$25)=$W$53),Provozování!AD29,IF(YEAR(Postup!$H$25)=$W$53,Provozování!$BL29,0)))</f>
        <v>0</v>
      </c>
      <c r="X59" s="129">
        <f>IF(YEAR(Postup!$H$25)&gt;$W$53,Provozování!AE29,IF(AND(DAY(Postup!$H$25)=31,MONTH(Postup!$H$25)=12,YEAR(Postup!$H$25)=$W$53),Provozování!AE29,IF(YEAR(Postup!$H$25)=$W$53,Provozování!$BM29,0)))</f>
        <v>0</v>
      </c>
      <c r="Y59" s="133">
        <f>IF(Provozování!$AF$16="Neaktivní",0,Provozování!AF29)</f>
        <v>0</v>
      </c>
      <c r="Z59" s="129">
        <f>IF(Provozování!$AF$16="Neaktivní",0,Provozování!AG29)</f>
        <v>0</v>
      </c>
      <c r="AA59" s="133">
        <f>IF(YEAR(Postup!$H$25)&gt;$AA$53,Provozování!AI29,IF(AND(DAY(Postup!$H$25)=31,MONTH(Postup!$H$25)=12,YEAR(Postup!$H$25)=$AA$53),Provozování!AI29,IF(YEAR(Postup!$H$25)=$AA$53,Provozování!$BL29,0)))</f>
        <v>0</v>
      </c>
      <c r="AB59" s="129">
        <f>IF(YEAR(Postup!$H$25)&gt;$AA$53,Provozování!AJ29,IF(AND(DAY(Postup!$H$25)=31,MONTH(Postup!$H$25)=12,YEAR(Postup!$H$25)=$AA$53),Provozování!AJ29,IF(YEAR(Postup!$H$25)=$AA$53,Provozování!$BM29,0)))</f>
        <v>0</v>
      </c>
      <c r="AC59" s="133">
        <f>IF(Provozování!$AK$16="Neaktivní",0,Provozování!AK29)</f>
        <v>0</v>
      </c>
      <c r="AD59" s="129">
        <f>IF(Provozování!$AK$16="Neaktivní",0,Provozování!AL29)</f>
        <v>0</v>
      </c>
      <c r="AE59" s="133">
        <f>IF(YEAR(Postup!$H$25)&gt;$AE$53,Provozování!AN29,IF(AND(DAY(Postup!$H$25)=31,MONTH(Postup!$H$25)=12,YEAR(Postup!$H$25)=$AE$53),Provozování!AN29,IF(YEAR(Postup!$H$25)=$AE$53,Provozování!$BL29,0)))</f>
        <v>0</v>
      </c>
      <c r="AF59" s="129">
        <f>IF(YEAR(Postup!$H$25)&gt;$AE$53,Provozování!AO29,IF(AND(DAY(Postup!$H$25)=31,MONTH(Postup!$H$25)=12,YEAR(Postup!$H$25)=$AE$53),Provozování!AO29,IF(YEAR(Postup!$H$25)=$AE$53,Provozování!$BM29,0)))</f>
        <v>0</v>
      </c>
      <c r="AG59" s="133">
        <f>IF(Provozování!$AP$16="Neaktivní",0,Provozování!AP29)</f>
        <v>0</v>
      </c>
      <c r="AH59" s="129">
        <f>IF(Provozování!$AP$16="Neaktivní",0,Provozování!AQ29)</f>
        <v>0</v>
      </c>
      <c r="AI59" s="133">
        <f>IF(YEAR(Postup!$H$25)&gt;$AI$53,Provozování!AS29,IF(AND(DAY(Postup!$H$25)=31,MONTH(Postup!$H$25)=12,YEAR(Postup!$H$25)=$AI$53),Provozování!AS29,IF(YEAR(Postup!$H$25)=$AI$53,Provozování!$BL29,0)))</f>
        <v>0</v>
      </c>
      <c r="AJ59" s="129">
        <f>IF(YEAR(Postup!$H$25)&gt;$AI$53,Provozování!AT29,IF(AND(DAY(Postup!$H$25)=31,MONTH(Postup!$H$25)=12,YEAR(Postup!$H$25)=$AI$53),Provozování!AT29,IF(YEAR(Postup!$H$25)=$AI$53,Provozování!$BM29,0)))</f>
        <v>0</v>
      </c>
      <c r="AK59" s="133">
        <f>IF(Provozování!$AU$16="Neaktivní",0,Provozování!AU29)</f>
        <v>0</v>
      </c>
      <c r="AL59" s="129">
        <f>IF(Provozování!$AU$16="Neaktivní",0,Provozování!AV29)</f>
        <v>0</v>
      </c>
      <c r="AM59" s="133">
        <f>IF(YEAR(Postup!$H$25)&gt;$AM$53,Provozování!AX29,IF(AND(DAY(Postup!$H$25)=31,MONTH(Postup!$H$25)=12,YEAR(Postup!$H$25)=$AM$53),Provozování!AX29,IF(YEAR(Postup!$H$25)=$AM$53,Provozování!$BL29,0)))</f>
        <v>0</v>
      </c>
      <c r="AN59" s="129">
        <f>IF(YEAR(Postup!$H$25)&gt;$AM$53,Provozování!AY29,IF(AND(DAY(Postup!$H$25)=31,MONTH(Postup!$H$25)=12,YEAR(Postup!$H$25)=$AM$53),Provozování!AY29,IF(YEAR(Postup!$H$25)=$AM$53,Provozování!$BM29,0)))</f>
        <v>0</v>
      </c>
      <c r="AO59" s="133">
        <f>IF(Provozování!$AZ$16="Neaktivní",0,Provozování!AZ29)</f>
        <v>0</v>
      </c>
      <c r="AP59" s="129">
        <f>IF(Provozování!$AZ$16="Neaktivní",0,Provozování!BA29)</f>
        <v>0</v>
      </c>
      <c r="AQ59" s="133">
        <f>IF(YEAR(Postup!$H$25)&gt;$AQ$53,Provozování!BC29,IF(AND(DAY(Postup!$H$25)=31,MONTH(Postup!$H$25)=12,YEAR(Postup!$H$25)=$AQ$53),Provozování!BC29,IF(YEAR(Postup!$H$25)=$AQ$53,Provozování!$BL29,0)))</f>
        <v>0</v>
      </c>
      <c r="AR59" s="129">
        <f>IF(YEAR(Postup!$H$25)&gt;$AM$53,Provozování!BD29,IF(AND(DAY(Postup!$H$25)=31,MONTH(Postup!$H$25)=12,YEAR(Postup!$H$25)=$AM$53),Provozování!BD29,IF(YEAR(Postup!$H$25)=$AM$53,Provozování!$BM29,0)))</f>
        <v>0</v>
      </c>
      <c r="AS59" s="133">
        <f>IF(Provozování!$BE$16="Neaktivní",0,Provozování!BE29)</f>
        <v>0</v>
      </c>
      <c r="AT59" s="129">
        <f>IF(Provozování!$BE$16="Neaktivní",0,Provozování!BF29)</f>
        <v>0</v>
      </c>
      <c r="AU59" s="133">
        <f>IF(YEAR(Postup!$H$25)&gt;$AU$53,Provozování!BH29,IF(AND(DAY(Postup!$H$25)=31,MONTH(Postup!$H$25)=12,YEAR(Postup!$H$25)=$AU$53),Provozování!BH29,IF(YEAR(Postup!$H$25)=$AU$53,Provozování!$BL29,0)))</f>
        <v>0</v>
      </c>
      <c r="AV59" s="129">
        <f>IF(YEAR(Postup!$H$25)&gt;$AU$53,Provozování!BI29,IF(AND(DAY(Postup!$H$25)=31,MONTH(Postup!$H$25)=12,YEAR(Postup!$H$25)=$AU$53),Provozování!BI29,IF(YEAR(Postup!$H$25)=$AU$53,Provozování!$BM29,0)))</f>
        <v>0</v>
      </c>
      <c r="AW59" s="133">
        <f>IF(Provozování!$BJ$16="Neaktivní",0,Provozování!BJ29)</f>
        <v>0</v>
      </c>
      <c r="AX59" s="129">
        <f>IF(Provozování!$BJ$16="Neaktivní",0,Provozování!BK29)</f>
        <v>0</v>
      </c>
    </row>
    <row r="60" spans="1:50" hidden="1" x14ac:dyDescent="0.25">
      <c r="A60" s="31"/>
      <c r="B60" s="12"/>
      <c r="C60" s="348"/>
      <c r="D60" s="348"/>
      <c r="E60" s="348"/>
      <c r="F60" s="3"/>
      <c r="G60" s="133"/>
      <c r="H60" s="129">
        <f>IF(AND(DAY(Postup!$H$24)=1,MONTH(Postup!$H$24)=1),Provozování!F30,Provozování!H30)</f>
        <v>0.18767123287671234</v>
      </c>
      <c r="I60" s="133">
        <f>IF(Provozování!$I$16="Neaktivní",0,Provozování!I30)</f>
        <v>0</v>
      </c>
      <c r="J60" s="129">
        <f>IF(Provozování!$I$16="Neaktivní",0,Provozování!J30)</f>
        <v>0</v>
      </c>
      <c r="K60" s="133">
        <f>IF(YEAR(Postup!$H$25)&gt;$K$53,Provozování!O30,IF(AND(DAY(Postup!$H$25)=31,MONTH(Postup!$H$25)=12,YEAR(Postup!$H$25)=$K$53),Provozování!O30,IF(YEAR(Postup!$H$25)=$K$53,Provozování!$BL30,0)))</f>
        <v>6.9333264000000002E-3</v>
      </c>
      <c r="L60" s="129">
        <f>IF(YEAR(Postup!$H$25)&gt;$K$53,Provozování!P30,IF(AND(DAY(Postup!$H$25)=31,MONTH(Postup!$H$25)=12,YEAR(Postup!$H$25)=$K$53),Provozování!P30,IF(YEAR(Postup!$H$25)=$K$53,Provozování!$BM30,0)))</f>
        <v>0.26</v>
      </c>
      <c r="M60" s="133">
        <f>IF(Provozování!$Q$16="Neaktivní",0,Provozování!Q30)</f>
        <v>0</v>
      </c>
      <c r="N60" s="129">
        <f>IF(Provozování!$Q$16="Neaktivní",0,Provozování!R30)</f>
        <v>0</v>
      </c>
      <c r="O60" s="133">
        <f>IF(YEAR(Postup!$H$25)&gt;$O$53,Provozování!T30,IF(AND(DAY(Postup!$H$25)=31,MONTH(Postup!$H$25)=12,YEAR(Postup!$H$25)=$O$53),Provozování!T30,IF(YEAR(Postup!$H$25)=$O$53,Provozování!$BL30,0)))</f>
        <v>0</v>
      </c>
      <c r="P60" s="129">
        <f>IF(YEAR(Postup!$H$25)&gt;$O$53,Provozování!U30,IF(AND(DAY(Postup!$H$25)=31,MONTH(Postup!$H$25)=12,YEAR(Postup!$H$25)=$O$53),Provozování!U30,IF(YEAR(Postup!$H$25)=$O$53,Provozování!$BM30,0)))</f>
        <v>0</v>
      </c>
      <c r="Q60" s="133">
        <f>IF(Provozování!$V$16="Neaktivní",0,Provozování!V30)</f>
        <v>0</v>
      </c>
      <c r="R60" s="129">
        <f>IF(Provozování!$V$16="Neaktivní",0,Provozování!W30)</f>
        <v>0</v>
      </c>
      <c r="S60" s="133">
        <f>IF(YEAR(Postup!$H$25)&gt;$S$53,Provozování!Y30,IF(AND(DAY(Postup!$H$25)=31,MONTH(Postup!$H$25)=12,YEAR(Postup!$H$25)=$S$53),Provozování!Y30,IF(YEAR(Postup!$H$25)=$S$53,Provozování!$BL30,0)))</f>
        <v>0</v>
      </c>
      <c r="T60" s="129">
        <f>IF(YEAR(Postup!$H$25)&gt;$S$53,Provozování!Z30,IF(AND(DAY(Postup!$H$25)=31,MONTH(Postup!$H$25)=12,YEAR(Postup!$H$25)=$S$53),Provozování!Z30,IF(YEAR(Postup!$H$25)=$S$53,Provozování!$BM30,0)))</f>
        <v>0</v>
      </c>
      <c r="U60" s="133">
        <f>IF(Provozování!$AA$16="Neaktivní",0,Provozování!AA30)</f>
        <v>0</v>
      </c>
      <c r="V60" s="129">
        <f>IF(Provozování!$AA$16="Neaktivní",0,Provozování!AB30)</f>
        <v>0</v>
      </c>
      <c r="W60" s="133">
        <f>IF(YEAR(Postup!$H$25)&gt;$W$53,Provozování!AD30,IF(AND(DAY(Postup!$H$25)=31,MONTH(Postup!$H$25)=12,YEAR(Postup!$H$25)=$W$53),Provozování!AD30,IF(YEAR(Postup!$H$25)=$W$53,Provozování!$BL30,0)))</f>
        <v>0</v>
      </c>
      <c r="X60" s="129">
        <f>IF(YEAR(Postup!$H$25)&gt;$W$53,Provozování!AE30,IF(AND(DAY(Postup!$H$25)=31,MONTH(Postup!$H$25)=12,YEAR(Postup!$H$25)=$W$53),Provozování!AE30,IF(YEAR(Postup!$H$25)=$W$53,Provozování!$BM30,0)))</f>
        <v>0</v>
      </c>
      <c r="Y60" s="133">
        <f>IF(Provozování!$AF$16="Neaktivní",0,Provozování!AF30)</f>
        <v>0</v>
      </c>
      <c r="Z60" s="129">
        <f>IF(Provozování!$AF$16="Neaktivní",0,Provozování!AG30)</f>
        <v>0</v>
      </c>
      <c r="AA60" s="133">
        <f>IF(YEAR(Postup!$H$25)&gt;$AA$53,Provozování!AI30,IF(AND(DAY(Postup!$H$25)=31,MONTH(Postup!$H$25)=12,YEAR(Postup!$H$25)=$AA$53),Provozování!AI30,IF(YEAR(Postup!$H$25)=$AA$53,Provozování!$BL30,0)))</f>
        <v>0</v>
      </c>
      <c r="AB60" s="129">
        <f>IF(YEAR(Postup!$H$25)&gt;$AA$53,Provozování!AJ30,IF(AND(DAY(Postup!$H$25)=31,MONTH(Postup!$H$25)=12,YEAR(Postup!$H$25)=$AA$53),Provozování!AJ30,IF(YEAR(Postup!$H$25)=$AA$53,Provozování!$BM30,0)))</f>
        <v>0</v>
      </c>
      <c r="AC60" s="133">
        <f>IF(Provozování!$AK$16="Neaktivní",0,Provozování!AK30)</f>
        <v>0</v>
      </c>
      <c r="AD60" s="129">
        <f>IF(Provozování!$AK$16="Neaktivní",0,Provozování!AL30)</f>
        <v>0</v>
      </c>
      <c r="AE60" s="133">
        <f>IF(YEAR(Postup!$H$25)&gt;$AE$53,Provozování!AN30,IF(AND(DAY(Postup!$H$25)=31,MONTH(Postup!$H$25)=12,YEAR(Postup!$H$25)=$AE$53),Provozování!AN30,IF(YEAR(Postup!$H$25)=$AE$53,Provozování!$BL30,0)))</f>
        <v>0</v>
      </c>
      <c r="AF60" s="129">
        <f>IF(YEAR(Postup!$H$25)&gt;$AE$53,Provozování!AO30,IF(AND(DAY(Postup!$H$25)=31,MONTH(Postup!$H$25)=12,YEAR(Postup!$H$25)=$AE$53),Provozování!AO30,IF(YEAR(Postup!$H$25)=$AE$53,Provozování!$BM30,0)))</f>
        <v>0</v>
      </c>
      <c r="AG60" s="133">
        <f>IF(Provozování!$AP$16="Neaktivní",0,Provozování!AP30)</f>
        <v>0</v>
      </c>
      <c r="AH60" s="129">
        <f>IF(Provozování!$AP$16="Neaktivní",0,Provozování!AQ30)</f>
        <v>0</v>
      </c>
      <c r="AI60" s="133">
        <f>IF(YEAR(Postup!$H$25)&gt;$AI$53,Provozování!AS30,IF(AND(DAY(Postup!$H$25)=31,MONTH(Postup!$H$25)=12,YEAR(Postup!$H$25)=$AI$53),Provozování!AS30,IF(YEAR(Postup!$H$25)=$AI$53,Provozování!$BL30,0)))</f>
        <v>0</v>
      </c>
      <c r="AJ60" s="129">
        <f>IF(YEAR(Postup!$H$25)&gt;$AI$53,Provozování!AT30,IF(AND(DAY(Postup!$H$25)=31,MONTH(Postup!$H$25)=12,YEAR(Postup!$H$25)=$AI$53),Provozování!AT30,IF(YEAR(Postup!$H$25)=$AI$53,Provozování!$BM30,0)))</f>
        <v>0</v>
      </c>
      <c r="AK60" s="133">
        <f>IF(Provozování!$AU$16="Neaktivní",0,Provozování!AU30)</f>
        <v>0</v>
      </c>
      <c r="AL60" s="129">
        <f>IF(Provozování!$AU$16="Neaktivní",0,Provozování!AV30)</f>
        <v>0</v>
      </c>
      <c r="AM60" s="133">
        <f>IF(YEAR(Postup!$H$25)&gt;$AM$53,Provozování!AX30,IF(AND(DAY(Postup!$H$25)=31,MONTH(Postup!$H$25)=12,YEAR(Postup!$H$25)=$AM$53),Provozování!AX30,IF(YEAR(Postup!$H$25)=$AM$53,Provozování!$BL30,0)))</f>
        <v>0</v>
      </c>
      <c r="AN60" s="129">
        <f>IF(YEAR(Postup!$H$25)&gt;$AM$53,Provozování!AY30,IF(AND(DAY(Postup!$H$25)=31,MONTH(Postup!$H$25)=12,YEAR(Postup!$H$25)=$AM$53),Provozování!AY30,IF(YEAR(Postup!$H$25)=$AM$53,Provozování!$BM30,0)))</f>
        <v>0</v>
      </c>
      <c r="AO60" s="133">
        <f>IF(Provozování!$AZ$16="Neaktivní",0,Provozování!AZ30)</f>
        <v>0</v>
      </c>
      <c r="AP60" s="129">
        <f>IF(Provozování!$AZ$16="Neaktivní",0,Provozování!BA30)</f>
        <v>0</v>
      </c>
      <c r="AQ60" s="133">
        <f>IF(YEAR(Postup!$H$25)&gt;$AQ$53,Provozování!BC30,IF(AND(DAY(Postup!$H$25)=31,MONTH(Postup!$H$25)=12,YEAR(Postup!$H$25)=$AQ$53),Provozování!BC30,IF(YEAR(Postup!$H$25)=$AQ$53,Provozování!$BL30,0)))</f>
        <v>0</v>
      </c>
      <c r="AR60" s="129">
        <f>IF(YEAR(Postup!$H$25)&gt;$AM$53,Provozování!BD30,IF(AND(DAY(Postup!$H$25)=31,MONTH(Postup!$H$25)=12,YEAR(Postup!$H$25)=$AM$53),Provozování!BD30,IF(YEAR(Postup!$H$25)=$AM$53,Provozování!$BM30,0)))</f>
        <v>0</v>
      </c>
      <c r="AS60" s="133">
        <f>IF(Provozování!$BE$16="Neaktivní",0,Provozování!BE30)</f>
        <v>0</v>
      </c>
      <c r="AT60" s="129">
        <f>IF(Provozování!$BE$16="Neaktivní",0,Provozování!BF30)</f>
        <v>0</v>
      </c>
      <c r="AU60" s="133">
        <f>IF(YEAR(Postup!$H$25)&gt;$AU$53,Provozování!BH30,IF(AND(DAY(Postup!$H$25)=31,MONTH(Postup!$H$25)=12,YEAR(Postup!$H$25)=$AU$53),Provozování!BH30,IF(YEAR(Postup!$H$25)=$AU$53,Provozování!$BL30,0)))</f>
        <v>0</v>
      </c>
      <c r="AV60" s="129">
        <f>IF(YEAR(Postup!$H$25)&gt;$AU$53,Provozování!BI30,IF(AND(DAY(Postup!$H$25)=31,MONTH(Postup!$H$25)=12,YEAR(Postup!$H$25)=$AU$53),Provozování!BI30,IF(YEAR(Postup!$H$25)=$AU$53,Provozování!$BM30,0)))</f>
        <v>0</v>
      </c>
      <c r="AW60" s="133">
        <f>IF(Provozování!$BJ$16="Neaktivní",0,Provozování!BJ30)</f>
        <v>0</v>
      </c>
      <c r="AX60" s="129">
        <f>IF(Provozování!$BJ$16="Neaktivní",0,Provozování!BK30)</f>
        <v>0</v>
      </c>
    </row>
    <row r="61" spans="1:50" x14ac:dyDescent="0.25">
      <c r="A61" s="31"/>
      <c r="B61" s="12" t="s">
        <v>26</v>
      </c>
      <c r="C61" s="1167" t="s">
        <v>390</v>
      </c>
      <c r="D61" s="854"/>
      <c r="E61" s="854"/>
      <c r="F61" s="3" t="s">
        <v>10</v>
      </c>
      <c r="G61" s="133">
        <f>IF(AND(DAY(Postup!$H$24)=1,MONTH(Postup!$H$24)=1),Provozování!E31,Provozování!G31)</f>
        <v>5.0045612054794523E-3</v>
      </c>
      <c r="H61" s="129">
        <f>IF(AND(DAY(Postup!$H$24)=1,MONTH(Postup!$H$24)=1),Provozování!F31,Provozování!H31)</f>
        <v>0.15013698630136987</v>
      </c>
      <c r="I61" s="133">
        <f>IF(Provozování!$I$16="Neaktivní",0,Provozování!I31)</f>
        <v>0</v>
      </c>
      <c r="J61" s="129">
        <f>IF(Provozování!$I$16="Neaktivní",0,Provozování!J31)</f>
        <v>0</v>
      </c>
      <c r="K61" s="133">
        <f>IF(YEAR(Postup!$H$25)&gt;$K$53,Provozování!O31,IF(AND(DAY(Postup!$H$25)=31,MONTH(Postup!$H$25)=12,YEAR(Postup!$H$25)=$K$53),Provozování!O31,IF(YEAR(Postup!$H$25)=$K$53,Provozování!$BL31,0)))</f>
        <v>6.9333264000000002E-3</v>
      </c>
      <c r="L61" s="129">
        <f>IF(YEAR(Postup!$H$25)&gt;$K$53,Provozování!P31,IF(AND(DAY(Postup!$H$25)=31,MONTH(Postup!$H$25)=12,YEAR(Postup!$H$25)=$K$53),Provozování!P31,IF(YEAR(Postup!$H$25)=$K$53,Provozování!$BM31,0)))</f>
        <v>0.20800000000000002</v>
      </c>
      <c r="M61" s="133">
        <f>IF(Provozování!$Q$16="Neaktivní",0,Provozování!Q31)</f>
        <v>0</v>
      </c>
      <c r="N61" s="129">
        <f>IF(Provozování!$Q$16="Neaktivní",0,Provozování!R31)</f>
        <v>0</v>
      </c>
      <c r="O61" s="133">
        <f>IF(YEAR(Postup!$H$25)&gt;$O$53,Provozování!T31,IF(AND(DAY(Postup!$H$25)=31,MONTH(Postup!$H$25)=12,YEAR(Postup!$H$25)=$O$53),Provozování!T31,IF(YEAR(Postup!$H$25)=$O$53,Provozování!$BL31,0)))</f>
        <v>0</v>
      </c>
      <c r="P61" s="129">
        <f>IF(YEAR(Postup!$H$25)&gt;$O$53,Provozování!U31,IF(AND(DAY(Postup!$H$25)=31,MONTH(Postup!$H$25)=12,YEAR(Postup!$H$25)=$O$53),Provozování!U31,IF(YEAR(Postup!$H$25)=$O$53,Provozování!$BM31,0)))</f>
        <v>0</v>
      </c>
      <c r="Q61" s="133">
        <f>IF(Provozování!$V$16="Neaktivní",0,Provozování!V31)</f>
        <v>0</v>
      </c>
      <c r="R61" s="129">
        <f>IF(Provozování!$V$16="Neaktivní",0,Provozování!W31)</f>
        <v>0</v>
      </c>
      <c r="S61" s="133">
        <f>IF(YEAR(Postup!$H$25)&gt;$S$53,Provozování!Y31,IF(AND(DAY(Postup!$H$25)=31,MONTH(Postup!$H$25)=12,YEAR(Postup!$H$25)=$S$53),Provozování!Y31,IF(YEAR(Postup!$H$25)=$S$53,Provozování!$BL31,0)))</f>
        <v>0</v>
      </c>
      <c r="T61" s="129">
        <f>IF(YEAR(Postup!$H$25)&gt;$S$53,Provozování!Z31,IF(AND(DAY(Postup!$H$25)=31,MONTH(Postup!$H$25)=12,YEAR(Postup!$H$25)=$S$53),Provozování!Z31,IF(YEAR(Postup!$H$25)=$S$53,Provozování!$BM31,0)))</f>
        <v>0</v>
      </c>
      <c r="U61" s="133">
        <f>IF(Provozování!$AA$16="Neaktivní",0,Provozování!AA31)</f>
        <v>0</v>
      </c>
      <c r="V61" s="129">
        <f>IF(Provozování!$AA$16="Neaktivní",0,Provozování!AB31)</f>
        <v>0</v>
      </c>
      <c r="W61" s="133">
        <f>IF(YEAR(Postup!$H$25)&gt;$W$53,Provozování!AD31,IF(AND(DAY(Postup!$H$25)=31,MONTH(Postup!$H$25)=12,YEAR(Postup!$H$25)=$W$53),Provozování!AD31,IF(YEAR(Postup!$H$25)=$W$53,Provozování!$BL31,0)))</f>
        <v>0</v>
      </c>
      <c r="X61" s="129">
        <f>IF(YEAR(Postup!$H$25)&gt;$W$53,Provozování!AE31,IF(AND(DAY(Postup!$H$25)=31,MONTH(Postup!$H$25)=12,YEAR(Postup!$H$25)=$W$53),Provozování!AE31,IF(YEAR(Postup!$H$25)=$W$53,Provozování!$BM31,0)))</f>
        <v>0</v>
      </c>
      <c r="Y61" s="133">
        <f>IF(Provozování!$AF$16="Neaktivní",0,Provozování!AF31)</f>
        <v>0</v>
      </c>
      <c r="Z61" s="129">
        <f>IF(Provozování!$AF$16="Neaktivní",0,Provozování!AG31)</f>
        <v>0</v>
      </c>
      <c r="AA61" s="133">
        <f>IF(YEAR(Postup!$H$25)&gt;$AA$53,Provozování!AI31,IF(AND(DAY(Postup!$H$25)=31,MONTH(Postup!$H$25)=12,YEAR(Postup!$H$25)=$AA$53),Provozování!AI31,IF(YEAR(Postup!$H$25)=$AA$53,Provozování!$BL31,0)))</f>
        <v>0</v>
      </c>
      <c r="AB61" s="129">
        <f>IF(YEAR(Postup!$H$25)&gt;$AA$53,Provozování!AJ31,IF(AND(DAY(Postup!$H$25)=31,MONTH(Postup!$H$25)=12,YEAR(Postup!$H$25)=$AA$53),Provozování!AJ31,IF(YEAR(Postup!$H$25)=$AA$53,Provozování!$BM31,0)))</f>
        <v>0</v>
      </c>
      <c r="AC61" s="133">
        <f>IF(Provozování!$AK$16="Neaktivní",0,Provozování!AK31)</f>
        <v>0</v>
      </c>
      <c r="AD61" s="129">
        <f>IF(Provozování!$AK$16="Neaktivní",0,Provozování!AL31)</f>
        <v>0</v>
      </c>
      <c r="AE61" s="133">
        <f>IF(YEAR(Postup!$H$25)&gt;$AE$53,Provozování!AN31,IF(AND(DAY(Postup!$H$25)=31,MONTH(Postup!$H$25)=12,YEAR(Postup!$H$25)=$AE$53),Provozování!AN31,IF(YEAR(Postup!$H$25)=$AE$53,Provozování!$BL31,0)))</f>
        <v>0</v>
      </c>
      <c r="AF61" s="129">
        <f>IF(YEAR(Postup!$H$25)&gt;$AE$53,Provozování!AO31,IF(AND(DAY(Postup!$H$25)=31,MONTH(Postup!$H$25)=12,YEAR(Postup!$H$25)=$AE$53),Provozování!AO31,IF(YEAR(Postup!$H$25)=$AE$53,Provozování!$BM31,0)))</f>
        <v>0</v>
      </c>
      <c r="AG61" s="133">
        <f>IF(Provozování!$AP$16="Neaktivní",0,Provozování!AP31)</f>
        <v>0</v>
      </c>
      <c r="AH61" s="129">
        <f>IF(Provozování!$AP$16="Neaktivní",0,Provozování!AQ31)</f>
        <v>0</v>
      </c>
      <c r="AI61" s="133">
        <f>IF(YEAR(Postup!$H$25)&gt;$AI$53,Provozování!AS31,IF(AND(DAY(Postup!$H$25)=31,MONTH(Postup!$H$25)=12,YEAR(Postup!$H$25)=$AI$53),Provozování!AS31,IF(YEAR(Postup!$H$25)=$AI$53,Provozování!$BL31,0)))</f>
        <v>0</v>
      </c>
      <c r="AJ61" s="129">
        <f>IF(YEAR(Postup!$H$25)&gt;$AI$53,Provozování!AT31,IF(AND(DAY(Postup!$H$25)=31,MONTH(Postup!$H$25)=12,YEAR(Postup!$H$25)=$AI$53),Provozování!AT31,IF(YEAR(Postup!$H$25)=$AI$53,Provozování!$BM31,0)))</f>
        <v>0</v>
      </c>
      <c r="AK61" s="133">
        <f>IF(Provozování!$AU$16="Neaktivní",0,Provozování!AU31)</f>
        <v>0</v>
      </c>
      <c r="AL61" s="129">
        <f>IF(Provozování!$AU$16="Neaktivní",0,Provozování!AV31)</f>
        <v>0</v>
      </c>
      <c r="AM61" s="133">
        <f>IF(YEAR(Postup!$H$25)&gt;$AM$53,Provozování!AX31,IF(AND(DAY(Postup!$H$25)=31,MONTH(Postup!$H$25)=12,YEAR(Postup!$H$25)=$AM$53),Provozování!AX31,IF(YEAR(Postup!$H$25)=$AM$53,Provozování!$BL31,0)))</f>
        <v>0</v>
      </c>
      <c r="AN61" s="129">
        <f>IF(YEAR(Postup!$H$25)&gt;$AM$53,Provozování!AY31,IF(AND(DAY(Postup!$H$25)=31,MONTH(Postup!$H$25)=12,YEAR(Postup!$H$25)=$AM$53),Provozování!AY31,IF(YEAR(Postup!$H$25)=$AM$53,Provozování!$BM31,0)))</f>
        <v>0</v>
      </c>
      <c r="AO61" s="133">
        <f>IF(Provozování!$AZ$16="Neaktivní",0,Provozování!AZ31)</f>
        <v>0</v>
      </c>
      <c r="AP61" s="129">
        <f>IF(Provozování!$AZ$16="Neaktivní",0,Provozování!BA31)</f>
        <v>0</v>
      </c>
      <c r="AQ61" s="133">
        <f>IF(YEAR(Postup!$H$25)&gt;$AQ$53,Provozování!BC31,IF(AND(DAY(Postup!$H$25)=31,MONTH(Postup!$H$25)=12,YEAR(Postup!$H$25)=$AQ$53),Provozování!BC31,IF(YEAR(Postup!$H$25)=$AQ$53,Provozování!$BL31,0)))</f>
        <v>0</v>
      </c>
      <c r="AR61" s="129">
        <f>IF(YEAR(Postup!$H$25)&gt;$AM$53,Provozování!BD31,IF(AND(DAY(Postup!$H$25)=31,MONTH(Postup!$H$25)=12,YEAR(Postup!$H$25)=$AM$53),Provozování!BD31,IF(YEAR(Postup!$H$25)=$AM$53,Provozování!$BM31,0)))</f>
        <v>0</v>
      </c>
      <c r="AS61" s="133">
        <f>IF(Provozování!$BE$16="Neaktivní",0,Provozování!BE31)</f>
        <v>0</v>
      </c>
      <c r="AT61" s="129">
        <f>IF(Provozování!$BE$16="Neaktivní",0,Provozování!BF31)</f>
        <v>0</v>
      </c>
      <c r="AU61" s="133">
        <f>IF(YEAR(Postup!$H$25)&gt;$AU$53,Provozování!BH31,IF(AND(DAY(Postup!$H$25)=31,MONTH(Postup!$H$25)=12,YEAR(Postup!$H$25)=$AU$53),Provozování!BH31,IF(YEAR(Postup!$H$25)=$AU$53,Provozování!$BL31,0)))</f>
        <v>0</v>
      </c>
      <c r="AV61" s="129">
        <f>IF(YEAR(Postup!$H$25)&gt;$AU$53,Provozování!BI31,IF(AND(DAY(Postup!$H$25)=31,MONTH(Postup!$H$25)=12,YEAR(Postup!$H$25)=$AU$53),Provozování!BI31,IF(YEAR(Postup!$H$25)=$AU$53,Provozování!$BM31,0)))</f>
        <v>0</v>
      </c>
      <c r="AW61" s="133">
        <f>IF(Provozování!$BJ$16="Neaktivní",0,Provozování!BJ31)</f>
        <v>0</v>
      </c>
      <c r="AX61" s="129">
        <f>IF(Provozování!$BJ$16="Neaktivní",0,Provozování!BK31)</f>
        <v>0</v>
      </c>
    </row>
    <row r="62" spans="1:50" x14ac:dyDescent="0.25">
      <c r="A62" s="31"/>
      <c r="B62" s="12" t="s">
        <v>27</v>
      </c>
      <c r="C62" s="1167" t="s">
        <v>401</v>
      </c>
      <c r="D62" s="854"/>
      <c r="E62" s="854"/>
      <c r="F62" s="3" t="s">
        <v>10</v>
      </c>
      <c r="G62" s="133">
        <f>IF(AND(DAY(Postup!$H$24)=1,MONTH(Postup!$H$24)=1),Provozování!E32,Provozování!G32)</f>
        <v>0</v>
      </c>
      <c r="H62" s="129">
        <f>IF(AND(DAY(Postup!$H$24)=1,MONTH(Postup!$H$24)=1),Provozování!F32,Provozování!H32)</f>
        <v>3.7534246575342468E-2</v>
      </c>
      <c r="I62" s="133">
        <f>IF(Provozování!$I$16="Neaktivní",0,Provozování!I32)</f>
        <v>0</v>
      </c>
      <c r="J62" s="129">
        <f>IF(Provozování!$I$16="Neaktivní",0,Provozování!J32)</f>
        <v>0</v>
      </c>
      <c r="K62" s="133">
        <f>IF(YEAR(Postup!$H$25)&gt;$K$53,Provozování!O32,IF(AND(DAY(Postup!$H$25)=31,MONTH(Postup!$H$25)=12,YEAR(Postup!$H$25)=$K$53),Provozování!O32,IF(YEAR(Postup!$H$25)=$K$53,Provozování!$BL32,0)))</f>
        <v>0</v>
      </c>
      <c r="L62" s="129">
        <f>IF(YEAR(Postup!$H$25)&gt;$K$53,Provozování!P32,IF(AND(DAY(Postup!$H$25)=31,MONTH(Postup!$H$25)=12,YEAR(Postup!$H$25)=$K$53),Provozování!P32,IF(YEAR(Postup!$H$25)=$K$53,Provozování!$BM32,0)))</f>
        <v>5.2000000000000005E-2</v>
      </c>
      <c r="M62" s="133">
        <f>IF(Provozování!$Q$16="Neaktivní",0,Provozování!Q32)</f>
        <v>0</v>
      </c>
      <c r="N62" s="129">
        <f>IF(Provozování!$Q$16="Neaktivní",0,Provozování!R32)</f>
        <v>0</v>
      </c>
      <c r="O62" s="133">
        <f>IF(YEAR(Postup!$H$25)&gt;$O$53,Provozování!T32,IF(AND(DAY(Postup!$H$25)=31,MONTH(Postup!$H$25)=12,YEAR(Postup!$H$25)=$O$53),Provozování!T32,IF(YEAR(Postup!$H$25)=$O$53,Provozování!$BL32,0)))</f>
        <v>0</v>
      </c>
      <c r="P62" s="129">
        <f>IF(YEAR(Postup!$H$25)&gt;$O$53,Provozování!U32,IF(AND(DAY(Postup!$H$25)=31,MONTH(Postup!$H$25)=12,YEAR(Postup!$H$25)=$O$53),Provozování!U32,IF(YEAR(Postup!$H$25)=$O$53,Provozování!$BM32,0)))</f>
        <v>0</v>
      </c>
      <c r="Q62" s="133">
        <f>IF(Provozování!$V$16="Neaktivní",0,Provozování!V32)</f>
        <v>0</v>
      </c>
      <c r="R62" s="129">
        <f>IF(Provozování!$V$16="Neaktivní",0,Provozování!W32)</f>
        <v>0</v>
      </c>
      <c r="S62" s="133">
        <f>IF(YEAR(Postup!$H$25)&gt;$S$53,Provozování!Y32,IF(AND(DAY(Postup!$H$25)=31,MONTH(Postup!$H$25)=12,YEAR(Postup!$H$25)=$S$53),Provozování!Y32,IF(YEAR(Postup!$H$25)=$S$53,Provozování!$BL32,0)))</f>
        <v>0</v>
      </c>
      <c r="T62" s="129">
        <f>IF(YEAR(Postup!$H$25)&gt;$S$53,Provozování!Z32,IF(AND(DAY(Postup!$H$25)=31,MONTH(Postup!$H$25)=12,YEAR(Postup!$H$25)=$S$53),Provozování!Z32,IF(YEAR(Postup!$H$25)=$S$53,Provozování!$BM32,0)))</f>
        <v>0</v>
      </c>
      <c r="U62" s="133">
        <f>IF(Provozování!$AA$16="Neaktivní",0,Provozování!AA32)</f>
        <v>0</v>
      </c>
      <c r="V62" s="129">
        <f>IF(Provozování!$AA$16="Neaktivní",0,Provozování!AB32)</f>
        <v>0</v>
      </c>
      <c r="W62" s="133">
        <f>IF(YEAR(Postup!$H$25)&gt;$W$53,Provozování!AD32,IF(AND(DAY(Postup!$H$25)=31,MONTH(Postup!$H$25)=12,YEAR(Postup!$H$25)=$W$53),Provozování!AD32,IF(YEAR(Postup!$H$25)=$W$53,Provozování!$BL32,0)))</f>
        <v>0</v>
      </c>
      <c r="X62" s="129">
        <f>IF(YEAR(Postup!$H$25)&gt;$W$53,Provozování!AE32,IF(AND(DAY(Postup!$H$25)=31,MONTH(Postup!$H$25)=12,YEAR(Postup!$H$25)=$W$53),Provozování!AE32,IF(YEAR(Postup!$H$25)=$W$53,Provozování!$BM32,0)))</f>
        <v>0</v>
      </c>
      <c r="Y62" s="133">
        <f>IF(Provozování!$AF$16="Neaktivní",0,Provozování!AF32)</f>
        <v>0</v>
      </c>
      <c r="Z62" s="129">
        <f>IF(Provozování!$AF$16="Neaktivní",0,Provozování!AG32)</f>
        <v>0</v>
      </c>
      <c r="AA62" s="133">
        <f>IF(YEAR(Postup!$H$25)&gt;$AA$53,Provozování!AI32,IF(AND(DAY(Postup!$H$25)=31,MONTH(Postup!$H$25)=12,YEAR(Postup!$H$25)=$AA$53),Provozování!AI32,IF(YEAR(Postup!$H$25)=$AA$53,Provozování!$BL32,0)))</f>
        <v>0</v>
      </c>
      <c r="AB62" s="129">
        <f>IF(YEAR(Postup!$H$25)&gt;$AA$53,Provozování!AJ32,IF(AND(DAY(Postup!$H$25)=31,MONTH(Postup!$H$25)=12,YEAR(Postup!$H$25)=$AA$53),Provozování!AJ32,IF(YEAR(Postup!$H$25)=$AA$53,Provozování!$BM32,0)))</f>
        <v>0</v>
      </c>
      <c r="AC62" s="133">
        <f>IF(Provozování!$AK$16="Neaktivní",0,Provozování!AK32)</f>
        <v>0</v>
      </c>
      <c r="AD62" s="129">
        <f>IF(Provozování!$AK$16="Neaktivní",0,Provozování!AL32)</f>
        <v>0</v>
      </c>
      <c r="AE62" s="133">
        <f>IF(YEAR(Postup!$H$25)&gt;$AE$53,Provozování!AN32,IF(AND(DAY(Postup!$H$25)=31,MONTH(Postup!$H$25)=12,YEAR(Postup!$H$25)=$AE$53),Provozování!AN32,IF(YEAR(Postup!$H$25)=$AE$53,Provozování!$BL32,0)))</f>
        <v>0</v>
      </c>
      <c r="AF62" s="129">
        <f>IF(YEAR(Postup!$H$25)&gt;$AE$53,Provozování!AO32,IF(AND(DAY(Postup!$H$25)=31,MONTH(Postup!$H$25)=12,YEAR(Postup!$H$25)=$AE$53),Provozování!AO32,IF(YEAR(Postup!$H$25)=$AE$53,Provozování!$BM32,0)))</f>
        <v>0</v>
      </c>
      <c r="AG62" s="133">
        <f>IF(Provozování!$AP$16="Neaktivní",0,Provozování!AP32)</f>
        <v>0</v>
      </c>
      <c r="AH62" s="129">
        <f>IF(Provozování!$AP$16="Neaktivní",0,Provozování!AQ32)</f>
        <v>0</v>
      </c>
      <c r="AI62" s="133">
        <f>IF(YEAR(Postup!$H$25)&gt;$AI$53,Provozování!AS32,IF(AND(DAY(Postup!$H$25)=31,MONTH(Postup!$H$25)=12,YEAR(Postup!$H$25)=$AI$53),Provozování!AS32,IF(YEAR(Postup!$H$25)=$AI$53,Provozování!$BL32,0)))</f>
        <v>0</v>
      </c>
      <c r="AJ62" s="129">
        <f>IF(YEAR(Postup!$H$25)&gt;$AI$53,Provozování!AT32,IF(AND(DAY(Postup!$H$25)=31,MONTH(Postup!$H$25)=12,YEAR(Postup!$H$25)=$AI$53),Provozování!AT32,IF(YEAR(Postup!$H$25)=$AI$53,Provozování!$BM32,0)))</f>
        <v>0</v>
      </c>
      <c r="AK62" s="133">
        <f>IF(Provozování!$AU$16="Neaktivní",0,Provozování!AU32)</f>
        <v>0</v>
      </c>
      <c r="AL62" s="129">
        <f>IF(Provozování!$AU$16="Neaktivní",0,Provozování!AV32)</f>
        <v>0</v>
      </c>
      <c r="AM62" s="133">
        <f>IF(YEAR(Postup!$H$25)&gt;$AM$53,Provozování!AX32,IF(AND(DAY(Postup!$H$25)=31,MONTH(Postup!$H$25)=12,YEAR(Postup!$H$25)=$AM$53),Provozování!AX32,IF(YEAR(Postup!$H$25)=$AM$53,Provozování!$BL32,0)))</f>
        <v>0</v>
      </c>
      <c r="AN62" s="129">
        <f>IF(YEAR(Postup!$H$25)&gt;$AM$53,Provozování!AY32,IF(AND(DAY(Postup!$H$25)=31,MONTH(Postup!$H$25)=12,YEAR(Postup!$H$25)=$AM$53),Provozování!AY32,IF(YEAR(Postup!$H$25)=$AM$53,Provozování!$BM32,0)))</f>
        <v>0</v>
      </c>
      <c r="AO62" s="133">
        <f>IF(Provozování!$AZ$16="Neaktivní",0,Provozování!AZ32)</f>
        <v>0</v>
      </c>
      <c r="AP62" s="129">
        <f>IF(Provozování!$AZ$16="Neaktivní",0,Provozování!BA32)</f>
        <v>0</v>
      </c>
      <c r="AQ62" s="133">
        <f>IF(YEAR(Postup!$H$25)&gt;$AQ$53,Provozování!BC32,IF(AND(DAY(Postup!$H$25)=31,MONTH(Postup!$H$25)=12,YEAR(Postup!$H$25)=$AQ$53),Provozování!BC32,IF(YEAR(Postup!$H$25)=$AQ$53,Provozování!$BL32,0)))</f>
        <v>0</v>
      </c>
      <c r="AR62" s="129">
        <f>IF(YEAR(Postup!$H$25)&gt;$AM$53,Provozování!BD32,IF(AND(DAY(Postup!$H$25)=31,MONTH(Postup!$H$25)=12,YEAR(Postup!$H$25)=$AM$53),Provozování!BD32,IF(YEAR(Postup!$H$25)=$AM$53,Provozování!$BM32,0)))</f>
        <v>0</v>
      </c>
      <c r="AS62" s="133">
        <f>IF(Provozování!$BE$16="Neaktivní",0,Provozování!BE32)</f>
        <v>0</v>
      </c>
      <c r="AT62" s="129">
        <f>IF(Provozování!$BE$16="Neaktivní",0,Provozování!BF32)</f>
        <v>0</v>
      </c>
      <c r="AU62" s="133">
        <f>IF(YEAR(Postup!$H$25)&gt;$AU$53,Provozování!BH32,IF(AND(DAY(Postup!$H$25)=31,MONTH(Postup!$H$25)=12,YEAR(Postup!$H$25)=$AU$53),Provozování!BH32,IF(YEAR(Postup!$H$25)=$AU$53,Provozování!$BL32,0)))</f>
        <v>0</v>
      </c>
      <c r="AV62" s="129">
        <f>IF(YEAR(Postup!$H$25)&gt;$AU$53,Provozování!BI32,IF(AND(DAY(Postup!$H$25)=31,MONTH(Postup!$H$25)=12,YEAR(Postup!$H$25)=$AU$53),Provozování!BI32,IF(YEAR(Postup!$H$25)=$AU$53,Provozování!$BM32,0)))</f>
        <v>0</v>
      </c>
      <c r="AW62" s="133">
        <f>IF(Provozování!$BJ$16="Neaktivní",0,Provozování!BJ32)</f>
        <v>0</v>
      </c>
      <c r="AX62" s="129">
        <f>IF(Provozování!$BJ$16="Neaktivní",0,Provozování!BK32)</f>
        <v>0</v>
      </c>
    </row>
    <row r="63" spans="1:50" hidden="1" x14ac:dyDescent="0.25">
      <c r="A63" s="31"/>
      <c r="C63" s="10"/>
      <c r="D63" s="348"/>
      <c r="E63" s="348"/>
      <c r="F63" s="3"/>
      <c r="G63" s="133">
        <f>IF(AND(DAY(Postup!$H$24)=1,MONTH(Postup!$H$24)=1),Provozování!E33,Provozování!G33)</f>
        <v>0.25072876712328768</v>
      </c>
      <c r="H63" s="129">
        <f>IF(AND(DAY(Postup!$H$24)=1,MONTH(Postup!$H$24)=1),Provozování!F33,Provozování!H33)</f>
        <v>0.68237260273972611</v>
      </c>
      <c r="I63" s="133">
        <f>IF(Provozování!$I$16="Neaktivní",0,Provozování!I33)</f>
        <v>0</v>
      </c>
      <c r="J63" s="129">
        <f>IF(Provozování!$I$16="Neaktivní",0,Provozování!J33)</f>
        <v>0</v>
      </c>
      <c r="K63" s="133">
        <f>IF(YEAR(Postup!$H$25)&gt;$K$53,Provozování!O33,IF(AND(DAY(Postup!$H$25)=31,MONTH(Postup!$H$25)=12,YEAR(Postup!$H$25)=$K$53),Provozování!O33,IF(YEAR(Postup!$H$25)=$K$53,Provozování!$BL33,0)))</f>
        <v>0.34736</v>
      </c>
      <c r="L63" s="129">
        <f>IF(YEAR(Postup!$H$25)&gt;$K$53,Provozování!P33,IF(AND(DAY(Postup!$H$25)=31,MONTH(Postup!$H$25)=12,YEAR(Postup!$H$25)=$K$53),Provozování!P33,IF(YEAR(Postup!$H$25)=$K$53,Provozování!$BM33,0)))</f>
        <v>0.94536000000000009</v>
      </c>
      <c r="M63" s="133">
        <f>IF(Provozování!$Q$16="Neaktivní",0,Provozování!Q33)</f>
        <v>0</v>
      </c>
      <c r="N63" s="129">
        <f>IF(Provozování!$Q$16="Neaktivní",0,Provozování!R33)</f>
        <v>0</v>
      </c>
      <c r="O63" s="133">
        <f>IF(YEAR(Postup!$H$25)&gt;$O$53,Provozování!T33,IF(AND(DAY(Postup!$H$25)=31,MONTH(Postup!$H$25)=12,YEAR(Postup!$H$25)=$O$53),Provozování!T33,IF(YEAR(Postup!$H$25)=$O$53,Provozování!$BL33,0)))</f>
        <v>0</v>
      </c>
      <c r="P63" s="129">
        <f>IF(YEAR(Postup!$H$25)&gt;$O$53,Provozování!U33,IF(AND(DAY(Postup!$H$25)=31,MONTH(Postup!$H$25)=12,YEAR(Postup!$H$25)=$O$53),Provozování!U33,IF(YEAR(Postup!$H$25)=$O$53,Provozování!$BM33,0)))</f>
        <v>0</v>
      </c>
      <c r="Q63" s="133">
        <f>IF(Provozování!$V$16="Neaktivní",0,Provozování!V33)</f>
        <v>0</v>
      </c>
      <c r="R63" s="129">
        <f>IF(Provozování!$V$16="Neaktivní",0,Provozování!W33)</f>
        <v>0</v>
      </c>
      <c r="S63" s="133">
        <f>IF(YEAR(Postup!$H$25)&gt;$S$53,Provozování!Y33,IF(AND(DAY(Postup!$H$25)=31,MONTH(Postup!$H$25)=12,YEAR(Postup!$H$25)=$S$53),Provozování!Y33,IF(YEAR(Postup!$H$25)=$S$53,Provozování!$BL33,0)))</f>
        <v>0</v>
      </c>
      <c r="T63" s="129">
        <f>IF(YEAR(Postup!$H$25)&gt;$S$53,Provozování!Z33,IF(AND(DAY(Postup!$H$25)=31,MONTH(Postup!$H$25)=12,YEAR(Postup!$H$25)=$S$53),Provozování!Z33,IF(YEAR(Postup!$H$25)=$S$53,Provozování!$BM33,0)))</f>
        <v>0</v>
      </c>
      <c r="U63" s="133">
        <f>IF(Provozování!$AA$16="Neaktivní",0,Provozování!AA33)</f>
        <v>0</v>
      </c>
      <c r="V63" s="129">
        <f>IF(Provozování!$AA$16="Neaktivní",0,Provozování!AB33)</f>
        <v>0</v>
      </c>
      <c r="W63" s="133">
        <f>IF(YEAR(Postup!$H$25)&gt;$W$53,Provozování!AD33,IF(AND(DAY(Postup!$H$25)=31,MONTH(Postup!$H$25)=12,YEAR(Postup!$H$25)=$W$53),Provozování!AD33,IF(YEAR(Postup!$H$25)=$W$53,Provozování!$BL33,0)))</f>
        <v>0</v>
      </c>
      <c r="X63" s="129">
        <f>IF(YEAR(Postup!$H$25)&gt;$W$53,Provozování!AE33,IF(AND(DAY(Postup!$H$25)=31,MONTH(Postup!$H$25)=12,YEAR(Postup!$H$25)=$W$53),Provozování!AE33,IF(YEAR(Postup!$H$25)=$W$53,Provozování!$BM33,0)))</f>
        <v>0</v>
      </c>
      <c r="Y63" s="133">
        <f>IF(Provozování!$AF$16="Neaktivní",0,Provozování!AF33)</f>
        <v>0</v>
      </c>
      <c r="Z63" s="129">
        <f>IF(Provozování!$AF$16="Neaktivní",0,Provozování!AG33)</f>
        <v>0</v>
      </c>
      <c r="AA63" s="133">
        <f>IF(YEAR(Postup!$H$25)&gt;$AA$53,Provozování!AI33,IF(AND(DAY(Postup!$H$25)=31,MONTH(Postup!$H$25)=12,YEAR(Postup!$H$25)=$AA$53),Provozování!AI33,IF(YEAR(Postup!$H$25)=$AA$53,Provozování!$BL33,0)))</f>
        <v>0</v>
      </c>
      <c r="AB63" s="129">
        <f>IF(YEAR(Postup!$H$25)&gt;$AA$53,Provozování!AJ33,IF(AND(DAY(Postup!$H$25)=31,MONTH(Postup!$H$25)=12,YEAR(Postup!$H$25)=$AA$53),Provozování!AJ33,IF(YEAR(Postup!$H$25)=$AA$53,Provozování!$BM33,0)))</f>
        <v>0</v>
      </c>
      <c r="AC63" s="133">
        <f>IF(Provozování!$AK$16="Neaktivní",0,Provozování!AK33)</f>
        <v>0</v>
      </c>
      <c r="AD63" s="129">
        <f>IF(Provozování!$AK$16="Neaktivní",0,Provozování!AL33)</f>
        <v>0</v>
      </c>
      <c r="AE63" s="133">
        <f>IF(YEAR(Postup!$H$25)&gt;$AE$53,Provozování!AN33,IF(AND(DAY(Postup!$H$25)=31,MONTH(Postup!$H$25)=12,YEAR(Postup!$H$25)=$AE$53),Provozování!AN33,IF(YEAR(Postup!$H$25)=$AE$53,Provozování!$BL33,0)))</f>
        <v>0</v>
      </c>
      <c r="AF63" s="129">
        <f>IF(YEAR(Postup!$H$25)&gt;$AE$53,Provozování!AO33,IF(AND(DAY(Postup!$H$25)=31,MONTH(Postup!$H$25)=12,YEAR(Postup!$H$25)=$AE$53),Provozování!AO33,IF(YEAR(Postup!$H$25)=$AE$53,Provozování!$BM33,0)))</f>
        <v>0</v>
      </c>
      <c r="AG63" s="133">
        <f>IF(Provozování!$AP$16="Neaktivní",0,Provozování!AP33)</f>
        <v>0</v>
      </c>
      <c r="AH63" s="129">
        <f>IF(Provozování!$AP$16="Neaktivní",0,Provozování!AQ33)</f>
        <v>0</v>
      </c>
      <c r="AI63" s="133">
        <f>IF(YEAR(Postup!$H$25)&gt;$AI$53,Provozování!AS33,IF(AND(DAY(Postup!$H$25)=31,MONTH(Postup!$H$25)=12,YEAR(Postup!$H$25)=$AI$53),Provozování!AS33,IF(YEAR(Postup!$H$25)=$AI$53,Provozování!$BL33,0)))</f>
        <v>0</v>
      </c>
      <c r="AJ63" s="129">
        <f>IF(YEAR(Postup!$H$25)&gt;$AI$53,Provozování!AT33,IF(AND(DAY(Postup!$H$25)=31,MONTH(Postup!$H$25)=12,YEAR(Postup!$H$25)=$AI$53),Provozování!AT33,IF(YEAR(Postup!$H$25)=$AI$53,Provozování!$BM33,0)))</f>
        <v>0</v>
      </c>
      <c r="AK63" s="133">
        <f>IF(Provozování!$AU$16="Neaktivní",0,Provozování!AU33)</f>
        <v>0</v>
      </c>
      <c r="AL63" s="129">
        <f>IF(Provozování!$AU$16="Neaktivní",0,Provozování!AV33)</f>
        <v>0</v>
      </c>
      <c r="AM63" s="133">
        <f>IF(YEAR(Postup!$H$25)&gt;$AM$53,Provozování!AX33,IF(AND(DAY(Postup!$H$25)=31,MONTH(Postup!$H$25)=12,YEAR(Postup!$H$25)=$AM$53),Provozování!AX33,IF(YEAR(Postup!$H$25)=$AM$53,Provozování!$BL33,0)))</f>
        <v>0</v>
      </c>
      <c r="AN63" s="129">
        <f>IF(YEAR(Postup!$H$25)&gt;$AM$53,Provozování!AY33,IF(AND(DAY(Postup!$H$25)=31,MONTH(Postup!$H$25)=12,YEAR(Postup!$H$25)=$AM$53),Provozování!AY33,IF(YEAR(Postup!$H$25)=$AM$53,Provozování!$BM33,0)))</f>
        <v>0</v>
      </c>
      <c r="AO63" s="133">
        <f>IF(Provozování!$AZ$16="Neaktivní",0,Provozování!AZ33)</f>
        <v>0</v>
      </c>
      <c r="AP63" s="129">
        <f>IF(Provozování!$AZ$16="Neaktivní",0,Provozování!BA33)</f>
        <v>0</v>
      </c>
      <c r="AQ63" s="133">
        <f>IF(YEAR(Postup!$H$25)&gt;$AQ$53,Provozování!BC33,IF(AND(DAY(Postup!$H$25)=31,MONTH(Postup!$H$25)=12,YEAR(Postup!$H$25)=$AQ$53),Provozování!BC33,IF(YEAR(Postup!$H$25)=$AQ$53,Provozování!$BL33,0)))</f>
        <v>0</v>
      </c>
      <c r="AR63" s="129">
        <f>IF(YEAR(Postup!$H$25)&gt;$AM$53,Provozování!BD33,IF(AND(DAY(Postup!$H$25)=31,MONTH(Postup!$H$25)=12,YEAR(Postup!$H$25)=$AM$53),Provozování!BD33,IF(YEAR(Postup!$H$25)=$AM$53,Provozování!$BM33,0)))</f>
        <v>0</v>
      </c>
      <c r="AS63" s="133">
        <f>IF(Provozování!$BE$16="Neaktivní",0,Provozování!BE33)</f>
        <v>0</v>
      </c>
      <c r="AT63" s="129">
        <f>IF(Provozování!$BE$16="Neaktivní",0,Provozování!BF33)</f>
        <v>0</v>
      </c>
      <c r="AU63" s="133">
        <f>IF(YEAR(Postup!$H$25)&gt;$AU$53,Provozování!BH33,IF(AND(DAY(Postup!$H$25)=31,MONTH(Postup!$H$25)=12,YEAR(Postup!$H$25)=$AU$53),Provozování!BH33,IF(YEAR(Postup!$H$25)=$AU$53,Provozování!$BL33,0)))</f>
        <v>0</v>
      </c>
      <c r="AV63" s="129">
        <f>IF(YEAR(Postup!$H$25)&gt;$AU$53,Provozování!BI33,IF(AND(DAY(Postup!$H$25)=31,MONTH(Postup!$H$25)=12,YEAR(Postup!$H$25)=$AU$53),Provozování!BI33,IF(YEAR(Postup!$H$25)=$AU$53,Provozování!$BM33,0)))</f>
        <v>0</v>
      </c>
      <c r="AW63" s="133">
        <f>IF(Provozování!$BJ$16="Neaktivní",0,Provozování!BJ33)</f>
        <v>0</v>
      </c>
      <c r="AX63" s="129">
        <f>IF(Provozování!$BJ$16="Neaktivní",0,Provozování!BK33)</f>
        <v>0</v>
      </c>
    </row>
    <row r="64" spans="1:50" hidden="1" x14ac:dyDescent="0.25">
      <c r="A64" s="31"/>
      <c r="B64" s="12" t="s">
        <v>30</v>
      </c>
      <c r="C64" s="854" t="s">
        <v>31</v>
      </c>
      <c r="D64" s="854"/>
      <c r="E64" s="854"/>
      <c r="F64" s="3" t="s">
        <v>10</v>
      </c>
      <c r="G64" s="133">
        <f>IF(AND(DAY(Postup!$H$24)=1,MONTH(Postup!$H$24)=1),Provozování!E34,Provozování!G34)</f>
        <v>0</v>
      </c>
      <c r="H64" s="129">
        <f>IF(AND(DAY(Postup!$H$24)=1,MONTH(Postup!$H$24)=1),Provozování!F34,Provozování!H34)</f>
        <v>0</v>
      </c>
      <c r="I64" s="133">
        <f>IF(Provozování!$I$16="Neaktivní",0,Provozování!I34)</f>
        <v>0</v>
      </c>
      <c r="J64" s="129">
        <f>IF(Provozování!$I$16="Neaktivní",0,Provozování!J34)</f>
        <v>0</v>
      </c>
      <c r="K64" s="133">
        <f>IF(YEAR(Postup!$H$25)&gt;$K$53,Provozování!O34,IF(AND(DAY(Postup!$H$25)=31,MONTH(Postup!$H$25)=12,YEAR(Postup!$H$25)=$K$53),Provozování!O34,IF(YEAR(Postup!$H$25)=$K$53,Provozování!$BL34,0)))</f>
        <v>0</v>
      </c>
      <c r="L64" s="129">
        <f>IF(YEAR(Postup!$H$25)&gt;$K$53,Provozování!P34,IF(AND(DAY(Postup!$H$25)=31,MONTH(Postup!$H$25)=12,YEAR(Postup!$H$25)=$K$53),Provozování!P34,IF(YEAR(Postup!$H$25)=$K$53,Provozování!$BM34,0)))</f>
        <v>0</v>
      </c>
      <c r="M64" s="133">
        <f>IF(Provozování!$Q$16="Neaktivní",0,Provozování!Q34)</f>
        <v>0</v>
      </c>
      <c r="N64" s="129">
        <f>IF(Provozování!$Q$16="Neaktivní",0,Provozování!R34)</f>
        <v>0</v>
      </c>
      <c r="O64" s="133">
        <f>IF(YEAR(Postup!$H$25)&gt;$O$53,Provozování!T34,IF(AND(DAY(Postup!$H$25)=31,MONTH(Postup!$H$25)=12,YEAR(Postup!$H$25)=$O$53),Provozování!T34,IF(YEAR(Postup!$H$25)=$O$53,Provozování!$BL34,0)))</f>
        <v>0</v>
      </c>
      <c r="P64" s="129">
        <f>IF(YEAR(Postup!$H$25)&gt;$O$53,Provozování!U34,IF(AND(DAY(Postup!$H$25)=31,MONTH(Postup!$H$25)=12,YEAR(Postup!$H$25)=$O$53),Provozování!U34,IF(YEAR(Postup!$H$25)=$O$53,Provozování!$BM34,0)))</f>
        <v>0</v>
      </c>
      <c r="Q64" s="133">
        <f>IF(Provozování!$V$16="Neaktivní",0,Provozování!V34)</f>
        <v>0</v>
      </c>
      <c r="R64" s="129">
        <f>IF(Provozování!$V$16="Neaktivní",0,Provozování!W34)</f>
        <v>0</v>
      </c>
      <c r="S64" s="133">
        <f>IF(YEAR(Postup!$H$25)&gt;$S$53,Provozování!Y34,IF(AND(DAY(Postup!$H$25)=31,MONTH(Postup!$H$25)=12,YEAR(Postup!$H$25)=$S$53),Provozování!Y34,IF(YEAR(Postup!$H$25)=$S$53,Provozování!$BL34,0)))</f>
        <v>0</v>
      </c>
      <c r="T64" s="129">
        <f>IF(YEAR(Postup!$H$25)&gt;$S$53,Provozování!Z34,IF(AND(DAY(Postup!$H$25)=31,MONTH(Postup!$H$25)=12,YEAR(Postup!$H$25)=$S$53),Provozování!Z34,IF(YEAR(Postup!$H$25)=$S$53,Provozování!$BM34,0)))</f>
        <v>0</v>
      </c>
      <c r="U64" s="133">
        <f>IF(Provozování!$AA$16="Neaktivní",0,Provozování!AA34)</f>
        <v>0</v>
      </c>
      <c r="V64" s="129">
        <f>IF(Provozování!$AA$16="Neaktivní",0,Provozování!AB34)</f>
        <v>0</v>
      </c>
      <c r="W64" s="133">
        <f>IF(YEAR(Postup!$H$25)&gt;$W$53,Provozování!AD34,IF(AND(DAY(Postup!$H$25)=31,MONTH(Postup!$H$25)=12,YEAR(Postup!$H$25)=$W$53),Provozování!AD34,IF(YEAR(Postup!$H$25)=$W$53,Provozování!$BL34,0)))</f>
        <v>0</v>
      </c>
      <c r="X64" s="129">
        <f>IF(YEAR(Postup!$H$25)&gt;$W$53,Provozování!AE34,IF(AND(DAY(Postup!$H$25)=31,MONTH(Postup!$H$25)=12,YEAR(Postup!$H$25)=$W$53),Provozování!AE34,IF(YEAR(Postup!$H$25)=$W$53,Provozování!$BM34,0)))</f>
        <v>0</v>
      </c>
      <c r="Y64" s="133">
        <f>IF(Provozování!$AF$16="Neaktivní",0,Provozování!AF34)</f>
        <v>0</v>
      </c>
      <c r="Z64" s="129">
        <f>IF(Provozování!$AF$16="Neaktivní",0,Provozování!AG34)</f>
        <v>0</v>
      </c>
      <c r="AA64" s="133">
        <f>IF(YEAR(Postup!$H$25)&gt;$AA$53,Provozování!AI34,IF(AND(DAY(Postup!$H$25)=31,MONTH(Postup!$H$25)=12,YEAR(Postup!$H$25)=$AA$53),Provozování!AI34,IF(YEAR(Postup!$H$25)=$AA$53,Provozování!$BL34,0)))</f>
        <v>0</v>
      </c>
      <c r="AB64" s="129">
        <f>IF(YEAR(Postup!$H$25)&gt;$AA$53,Provozování!AJ34,IF(AND(DAY(Postup!$H$25)=31,MONTH(Postup!$H$25)=12,YEAR(Postup!$H$25)=$AA$53),Provozování!AJ34,IF(YEAR(Postup!$H$25)=$AA$53,Provozování!$BM34,0)))</f>
        <v>0</v>
      </c>
      <c r="AC64" s="133">
        <f>IF(Provozování!$AK$16="Neaktivní",0,Provozování!AK34)</f>
        <v>0</v>
      </c>
      <c r="AD64" s="129">
        <f>IF(Provozování!$AK$16="Neaktivní",0,Provozování!AL34)</f>
        <v>0</v>
      </c>
      <c r="AE64" s="133">
        <f>IF(YEAR(Postup!$H$25)&gt;$AE$53,Provozování!AN34,IF(AND(DAY(Postup!$H$25)=31,MONTH(Postup!$H$25)=12,YEAR(Postup!$H$25)=$AE$53),Provozování!AN34,IF(YEAR(Postup!$H$25)=$AE$53,Provozování!$BL34,0)))</f>
        <v>0</v>
      </c>
      <c r="AF64" s="129">
        <f>IF(YEAR(Postup!$H$25)&gt;$AE$53,Provozování!AO34,IF(AND(DAY(Postup!$H$25)=31,MONTH(Postup!$H$25)=12,YEAR(Postup!$H$25)=$AE$53),Provozování!AO34,IF(YEAR(Postup!$H$25)=$AE$53,Provozování!$BM34,0)))</f>
        <v>0</v>
      </c>
      <c r="AG64" s="133">
        <f>IF(Provozování!$AP$16="Neaktivní",0,Provozování!AP34)</f>
        <v>0</v>
      </c>
      <c r="AH64" s="129">
        <f>IF(Provozování!$AP$16="Neaktivní",0,Provozování!AQ34)</f>
        <v>0</v>
      </c>
      <c r="AI64" s="133">
        <f>IF(YEAR(Postup!$H$25)&gt;$AI$53,Provozování!AS34,IF(AND(DAY(Postup!$H$25)=31,MONTH(Postup!$H$25)=12,YEAR(Postup!$H$25)=$AI$53),Provozování!AS34,IF(YEAR(Postup!$H$25)=$AI$53,Provozování!$BL34,0)))</f>
        <v>0</v>
      </c>
      <c r="AJ64" s="129">
        <f>IF(YEAR(Postup!$H$25)&gt;$AI$53,Provozování!AT34,IF(AND(DAY(Postup!$H$25)=31,MONTH(Postup!$H$25)=12,YEAR(Postup!$H$25)=$AI$53),Provozování!AT34,IF(YEAR(Postup!$H$25)=$AI$53,Provozování!$BM34,0)))</f>
        <v>0</v>
      </c>
      <c r="AK64" s="133">
        <f>IF(Provozování!$AU$16="Neaktivní",0,Provozování!AU34)</f>
        <v>0</v>
      </c>
      <c r="AL64" s="129">
        <f>IF(Provozování!$AU$16="Neaktivní",0,Provozování!AV34)</f>
        <v>0</v>
      </c>
      <c r="AM64" s="133">
        <f>IF(YEAR(Postup!$H$25)&gt;$AM$53,Provozování!AX34,IF(AND(DAY(Postup!$H$25)=31,MONTH(Postup!$H$25)=12,YEAR(Postup!$H$25)=$AM$53),Provozování!AX34,IF(YEAR(Postup!$H$25)=$AM$53,Provozování!$BL34,0)))</f>
        <v>0</v>
      </c>
      <c r="AN64" s="129">
        <f>IF(YEAR(Postup!$H$25)&gt;$AM$53,Provozování!AY34,IF(AND(DAY(Postup!$H$25)=31,MONTH(Postup!$H$25)=12,YEAR(Postup!$H$25)=$AM$53),Provozování!AY34,IF(YEAR(Postup!$H$25)=$AM$53,Provozování!$BM34,0)))</f>
        <v>0</v>
      </c>
      <c r="AO64" s="133">
        <f>IF(Provozování!$AZ$16="Neaktivní",0,Provozování!AZ34)</f>
        <v>0</v>
      </c>
      <c r="AP64" s="129">
        <f>IF(Provozování!$AZ$16="Neaktivní",0,Provozování!BA34)</f>
        <v>0</v>
      </c>
      <c r="AQ64" s="133">
        <f>IF(YEAR(Postup!$H$25)&gt;$AQ$53,Provozování!BC34,IF(AND(DAY(Postup!$H$25)=31,MONTH(Postup!$H$25)=12,YEAR(Postup!$H$25)=$AQ$53),Provozování!BC34,IF(YEAR(Postup!$H$25)=$AQ$53,Provozování!$BL34,0)))</f>
        <v>0</v>
      </c>
      <c r="AR64" s="129">
        <f>IF(YEAR(Postup!$H$25)&gt;$AM$53,Provozování!BD34,IF(AND(DAY(Postup!$H$25)=31,MONTH(Postup!$H$25)=12,YEAR(Postup!$H$25)=$AM$53),Provozování!BD34,IF(YEAR(Postup!$H$25)=$AM$53,Provozování!$BM34,0)))</f>
        <v>0</v>
      </c>
      <c r="AS64" s="133">
        <f>IF(Provozování!$BE$16="Neaktivní",0,Provozování!BE34)</f>
        <v>0</v>
      </c>
      <c r="AT64" s="129">
        <f>IF(Provozování!$BE$16="Neaktivní",0,Provozování!BF34)</f>
        <v>0</v>
      </c>
      <c r="AU64" s="133">
        <f>IF(YEAR(Postup!$H$25)&gt;$AU$53,Provozování!BH34,IF(AND(DAY(Postup!$H$25)=31,MONTH(Postup!$H$25)=12,YEAR(Postup!$H$25)=$AU$53),Provozování!BH34,IF(YEAR(Postup!$H$25)=$AU$53,Provozování!$BL34,0)))</f>
        <v>0</v>
      </c>
      <c r="AV64" s="129">
        <f>IF(YEAR(Postup!$H$25)&gt;$AU$53,Provozování!BI34,IF(AND(DAY(Postup!$H$25)=31,MONTH(Postup!$H$25)=12,YEAR(Postup!$H$25)=$AU$53),Provozování!BI34,IF(YEAR(Postup!$H$25)=$AU$53,Provozování!$BM34,0)))</f>
        <v>0</v>
      </c>
      <c r="AW64" s="133">
        <f>IF(Provozování!$BJ$16="Neaktivní",0,Provozování!BJ34)</f>
        <v>0</v>
      </c>
      <c r="AX64" s="129">
        <f>IF(Provozování!$BJ$16="Neaktivní",0,Provozování!BK34)</f>
        <v>0</v>
      </c>
    </row>
    <row r="65" spans="1:50" x14ac:dyDescent="0.25">
      <c r="A65" s="31"/>
      <c r="B65" s="12" t="s">
        <v>32</v>
      </c>
      <c r="C65" s="1167" t="s">
        <v>383</v>
      </c>
      <c r="D65" s="854"/>
      <c r="E65" s="854"/>
      <c r="F65" s="3" t="s">
        <v>10</v>
      </c>
      <c r="G65" s="133">
        <f>IF(AND(DAY(Postup!$H$24)=1,MONTH(Postup!$H$24)=1),Provozování!E35,Provozování!G35)</f>
        <v>0</v>
      </c>
      <c r="H65" s="129">
        <f>IF(AND(DAY(Postup!$H$24)=1,MONTH(Postup!$H$24)=1),Provozování!F35,Provozování!H35)</f>
        <v>0</v>
      </c>
      <c r="I65" s="133">
        <f>IF(Provozování!$I$16="Neaktivní",0,Provozování!I35)</f>
        <v>0</v>
      </c>
      <c r="J65" s="129">
        <f>IF(Provozování!$I$16="Neaktivní",0,Provozování!J35)</f>
        <v>0</v>
      </c>
      <c r="K65" s="133">
        <f>IF(YEAR(Postup!$H$25)&gt;$K$53,Provozování!O35,IF(AND(DAY(Postup!$H$25)=31,MONTH(Postup!$H$25)=12,YEAR(Postup!$H$25)=$K$53),Provozování!O35,IF(YEAR(Postup!$H$25)=$K$53,Provozování!$BL35,0)))</f>
        <v>0</v>
      </c>
      <c r="L65" s="129">
        <f>IF(YEAR(Postup!$H$25)&gt;$K$53,Provozování!P35,IF(AND(DAY(Postup!$H$25)=31,MONTH(Postup!$H$25)=12,YEAR(Postup!$H$25)=$K$53),Provozování!P35,IF(YEAR(Postup!$H$25)=$K$53,Provozování!$BM35,0)))</f>
        <v>0</v>
      </c>
      <c r="M65" s="133">
        <f>IF(Provozování!$Q$16="Neaktivní",0,Provozování!Q35)</f>
        <v>0</v>
      </c>
      <c r="N65" s="129">
        <f>IF(Provozování!$Q$16="Neaktivní",0,Provozování!R35)</f>
        <v>0</v>
      </c>
      <c r="O65" s="133">
        <f>IF(YEAR(Postup!$H$25)&gt;$O$53,Provozování!T35,IF(AND(DAY(Postup!$H$25)=31,MONTH(Postup!$H$25)=12,YEAR(Postup!$H$25)=$O$53),Provozování!T35,IF(YEAR(Postup!$H$25)=$O$53,Provozování!$BL35,0)))</f>
        <v>0</v>
      </c>
      <c r="P65" s="129">
        <f>IF(YEAR(Postup!$H$25)&gt;$O$53,Provozování!U35,IF(AND(DAY(Postup!$H$25)=31,MONTH(Postup!$H$25)=12,YEAR(Postup!$H$25)=$O$53),Provozování!U35,IF(YEAR(Postup!$H$25)=$O$53,Provozování!$BM35,0)))</f>
        <v>0</v>
      </c>
      <c r="Q65" s="133">
        <f>IF(Provozování!$V$16="Neaktivní",0,Provozování!V35)</f>
        <v>0</v>
      </c>
      <c r="R65" s="129">
        <f>IF(Provozování!$V$16="Neaktivní",0,Provozování!W35)</f>
        <v>0</v>
      </c>
      <c r="S65" s="133">
        <f>IF(YEAR(Postup!$H$25)&gt;$S$53,Provozování!Y35,IF(AND(DAY(Postup!$H$25)=31,MONTH(Postup!$H$25)=12,YEAR(Postup!$H$25)=$S$53),Provozování!Y35,IF(YEAR(Postup!$H$25)=$S$53,Provozování!$BL35,0)))</f>
        <v>0</v>
      </c>
      <c r="T65" s="129">
        <f>IF(YEAR(Postup!$H$25)&gt;$S$53,Provozování!Z35,IF(AND(DAY(Postup!$H$25)=31,MONTH(Postup!$H$25)=12,YEAR(Postup!$H$25)=$S$53),Provozování!Z35,IF(YEAR(Postup!$H$25)=$S$53,Provozování!$BM35,0)))</f>
        <v>0</v>
      </c>
      <c r="U65" s="133">
        <f>IF(Provozování!$AA$16="Neaktivní",0,Provozování!AA35)</f>
        <v>0</v>
      </c>
      <c r="V65" s="129">
        <f>IF(Provozování!$AA$16="Neaktivní",0,Provozování!AB35)</f>
        <v>0</v>
      </c>
      <c r="W65" s="133">
        <f>IF(YEAR(Postup!$H$25)&gt;$W$53,Provozování!AD35,IF(AND(DAY(Postup!$H$25)=31,MONTH(Postup!$H$25)=12,YEAR(Postup!$H$25)=$W$53),Provozování!AD35,IF(YEAR(Postup!$H$25)=$W$53,Provozování!$BL35,0)))</f>
        <v>0</v>
      </c>
      <c r="X65" s="129">
        <f>IF(YEAR(Postup!$H$25)&gt;$W$53,Provozování!AE35,IF(AND(DAY(Postup!$H$25)=31,MONTH(Postup!$H$25)=12,YEAR(Postup!$H$25)=$W$53),Provozování!AE35,IF(YEAR(Postup!$H$25)=$W$53,Provozování!$BM35,0)))</f>
        <v>0</v>
      </c>
      <c r="Y65" s="133">
        <f>IF(Provozování!$AF$16="Neaktivní",0,Provozování!AF35)</f>
        <v>0</v>
      </c>
      <c r="Z65" s="129">
        <f>IF(Provozování!$AF$16="Neaktivní",0,Provozování!AG35)</f>
        <v>0</v>
      </c>
      <c r="AA65" s="133">
        <f>IF(YEAR(Postup!$H$25)&gt;$AA$53,Provozování!AI35,IF(AND(DAY(Postup!$H$25)=31,MONTH(Postup!$H$25)=12,YEAR(Postup!$H$25)=$AA$53),Provozování!AI35,IF(YEAR(Postup!$H$25)=$AA$53,Provozování!$BL35,0)))</f>
        <v>0</v>
      </c>
      <c r="AB65" s="129">
        <f>IF(YEAR(Postup!$H$25)&gt;$AA$53,Provozování!AJ35,IF(AND(DAY(Postup!$H$25)=31,MONTH(Postup!$H$25)=12,YEAR(Postup!$H$25)=$AA$53),Provozování!AJ35,IF(YEAR(Postup!$H$25)=$AA$53,Provozování!$BM35,0)))</f>
        <v>0</v>
      </c>
      <c r="AC65" s="133">
        <f>IF(Provozování!$AK$16="Neaktivní",0,Provozování!AK35)</f>
        <v>0</v>
      </c>
      <c r="AD65" s="129">
        <f>IF(Provozování!$AK$16="Neaktivní",0,Provozování!AL35)</f>
        <v>0</v>
      </c>
      <c r="AE65" s="133">
        <f>IF(YEAR(Postup!$H$25)&gt;$AE$53,Provozování!AN35,IF(AND(DAY(Postup!$H$25)=31,MONTH(Postup!$H$25)=12,YEAR(Postup!$H$25)=$AE$53),Provozování!AN35,IF(YEAR(Postup!$H$25)=$AE$53,Provozování!$BL35,0)))</f>
        <v>0</v>
      </c>
      <c r="AF65" s="129">
        <f>IF(YEAR(Postup!$H$25)&gt;$AE$53,Provozování!AO35,IF(AND(DAY(Postup!$H$25)=31,MONTH(Postup!$H$25)=12,YEAR(Postup!$H$25)=$AE$53),Provozování!AO35,IF(YEAR(Postup!$H$25)=$AE$53,Provozování!$BM35,0)))</f>
        <v>0</v>
      </c>
      <c r="AG65" s="133">
        <f>IF(Provozování!$AP$16="Neaktivní",0,Provozování!AP35)</f>
        <v>0</v>
      </c>
      <c r="AH65" s="129">
        <f>IF(Provozování!$AP$16="Neaktivní",0,Provozování!AQ35)</f>
        <v>0</v>
      </c>
      <c r="AI65" s="133">
        <f>IF(YEAR(Postup!$H$25)&gt;$AI$53,Provozování!AS35,IF(AND(DAY(Postup!$H$25)=31,MONTH(Postup!$H$25)=12,YEAR(Postup!$H$25)=$AI$53),Provozování!AS35,IF(YEAR(Postup!$H$25)=$AI$53,Provozování!$BL35,0)))</f>
        <v>0</v>
      </c>
      <c r="AJ65" s="129">
        <f>IF(YEAR(Postup!$H$25)&gt;$AI$53,Provozování!AT35,IF(AND(DAY(Postup!$H$25)=31,MONTH(Postup!$H$25)=12,YEAR(Postup!$H$25)=$AI$53),Provozování!AT35,IF(YEAR(Postup!$H$25)=$AI$53,Provozování!$BM35,0)))</f>
        <v>0</v>
      </c>
      <c r="AK65" s="133">
        <f>IF(Provozování!$AU$16="Neaktivní",0,Provozování!AU35)</f>
        <v>0</v>
      </c>
      <c r="AL65" s="129">
        <f>IF(Provozování!$AU$16="Neaktivní",0,Provozování!AV35)</f>
        <v>0</v>
      </c>
      <c r="AM65" s="133">
        <f>IF(YEAR(Postup!$H$25)&gt;$AM$53,Provozování!AX35,IF(AND(DAY(Postup!$H$25)=31,MONTH(Postup!$H$25)=12,YEAR(Postup!$H$25)=$AM$53),Provozování!AX35,IF(YEAR(Postup!$H$25)=$AM$53,Provozování!$BL35,0)))</f>
        <v>0</v>
      </c>
      <c r="AN65" s="129">
        <f>IF(YEAR(Postup!$H$25)&gt;$AM$53,Provozování!AY35,IF(AND(DAY(Postup!$H$25)=31,MONTH(Postup!$H$25)=12,YEAR(Postup!$H$25)=$AM$53),Provozování!AY35,IF(YEAR(Postup!$H$25)=$AM$53,Provozování!$BM35,0)))</f>
        <v>0</v>
      </c>
      <c r="AO65" s="133">
        <f>IF(Provozování!$AZ$16="Neaktivní",0,Provozování!AZ35)</f>
        <v>0</v>
      </c>
      <c r="AP65" s="129">
        <f>IF(Provozování!$AZ$16="Neaktivní",0,Provozování!BA35)</f>
        <v>0</v>
      </c>
      <c r="AQ65" s="133">
        <f>IF(YEAR(Postup!$H$25)&gt;$AQ$53,Provozování!BC35,IF(AND(DAY(Postup!$H$25)=31,MONTH(Postup!$H$25)=12,YEAR(Postup!$H$25)=$AQ$53),Provozování!BC35,IF(YEAR(Postup!$H$25)=$AQ$53,Provozování!$BL35,0)))</f>
        <v>0</v>
      </c>
      <c r="AR65" s="129">
        <f>IF(YEAR(Postup!$H$25)&gt;$AM$53,Provozování!BD35,IF(AND(DAY(Postup!$H$25)=31,MONTH(Postup!$H$25)=12,YEAR(Postup!$H$25)=$AM$53),Provozování!BD35,IF(YEAR(Postup!$H$25)=$AM$53,Provozování!$BM35,0)))</f>
        <v>0</v>
      </c>
      <c r="AS65" s="133">
        <f>IF(Provozování!$BE$16="Neaktivní",0,Provozování!BE35)</f>
        <v>0</v>
      </c>
      <c r="AT65" s="129">
        <f>IF(Provozování!$BE$16="Neaktivní",0,Provozování!BF35)</f>
        <v>0</v>
      </c>
      <c r="AU65" s="133">
        <f>IF(YEAR(Postup!$H$25)&gt;$AU$53,Provozování!BH35,IF(AND(DAY(Postup!$H$25)=31,MONTH(Postup!$H$25)=12,YEAR(Postup!$H$25)=$AU$53),Provozování!BH35,IF(YEAR(Postup!$H$25)=$AU$53,Provozování!$BL35,0)))</f>
        <v>0</v>
      </c>
      <c r="AV65" s="129">
        <f>IF(YEAR(Postup!$H$25)&gt;$AU$53,Provozování!BI35,IF(AND(DAY(Postup!$H$25)=31,MONTH(Postup!$H$25)=12,YEAR(Postup!$H$25)=$AU$53),Provozování!BI35,IF(YEAR(Postup!$H$25)=$AU$53,Provozování!$BM35,0)))</f>
        <v>0</v>
      </c>
      <c r="AW65" s="133">
        <f>IF(Provozování!$BJ$16="Neaktivní",0,Provozování!BJ35)</f>
        <v>0</v>
      </c>
      <c r="AX65" s="129">
        <f>IF(Provozování!$BJ$16="Neaktivní",0,Provozování!BK35)</f>
        <v>0</v>
      </c>
    </row>
    <row r="66" spans="1:50" hidden="1" x14ac:dyDescent="0.25">
      <c r="A66" s="31"/>
      <c r="B66" s="12" t="s">
        <v>33</v>
      </c>
      <c r="C66" s="854" t="s">
        <v>338</v>
      </c>
      <c r="D66" s="854"/>
      <c r="E66" s="854"/>
      <c r="F66" s="3" t="s">
        <v>10</v>
      </c>
      <c r="G66" s="133">
        <f>IF(AND(DAY(Postup!$H$24)=1,MONTH(Postup!$H$24)=1),Provozování!E36,Provozování!G36)</f>
        <v>1.5013698630136987E-2</v>
      </c>
      <c r="H66" s="129">
        <f>IF(AND(DAY(Postup!$H$24)=1,MONTH(Postup!$H$24)=1),Provozování!F36,Provozování!H36)</f>
        <v>1.8767123287671234E-2</v>
      </c>
      <c r="I66" s="133">
        <f>IF(Provozování!$I$16="Neaktivní",0,Provozování!I36)</f>
        <v>0</v>
      </c>
      <c r="J66" s="129">
        <f>IF(Provozování!$I$16="Neaktivní",0,Provozování!J36)</f>
        <v>0</v>
      </c>
      <c r="K66" s="133">
        <f>IF(YEAR(Postup!$H$25)&gt;$K$53,Provozování!O36,IF(AND(DAY(Postup!$H$25)=31,MONTH(Postup!$H$25)=12,YEAR(Postup!$H$25)=$K$53),Provozování!O36,IF(YEAR(Postup!$H$25)=$K$53,Provozování!$BL36,0)))</f>
        <v>2.0800000000000003E-2</v>
      </c>
      <c r="L66" s="129">
        <f>IF(YEAR(Postup!$H$25)&gt;$K$53,Provozování!P36,IF(AND(DAY(Postup!$H$25)=31,MONTH(Postup!$H$25)=12,YEAR(Postup!$H$25)=$K$53),Provozování!P36,IF(YEAR(Postup!$H$25)=$K$53,Provozování!$BM36,0)))</f>
        <v>2.6000000000000002E-2</v>
      </c>
      <c r="M66" s="133">
        <f>IF(Provozování!$Q$16="Neaktivní",0,Provozování!Q36)</f>
        <v>0</v>
      </c>
      <c r="N66" s="129">
        <f>IF(Provozování!$Q$16="Neaktivní",0,Provozování!R36)</f>
        <v>0</v>
      </c>
      <c r="O66" s="133">
        <f>IF(YEAR(Postup!$H$25)&gt;$O$53,Provozování!T36,IF(AND(DAY(Postup!$H$25)=31,MONTH(Postup!$H$25)=12,YEAR(Postup!$H$25)=$O$53),Provozování!T36,IF(YEAR(Postup!$H$25)=$O$53,Provozování!$BL36,0)))</f>
        <v>0</v>
      </c>
      <c r="P66" s="129">
        <f>IF(YEAR(Postup!$H$25)&gt;$O$53,Provozování!U36,IF(AND(DAY(Postup!$H$25)=31,MONTH(Postup!$H$25)=12,YEAR(Postup!$H$25)=$O$53),Provozování!U36,IF(YEAR(Postup!$H$25)=$O$53,Provozování!$BM36,0)))</f>
        <v>0</v>
      </c>
      <c r="Q66" s="133">
        <f>IF(Provozování!$V$16="Neaktivní",0,Provozování!V36)</f>
        <v>0</v>
      </c>
      <c r="R66" s="129">
        <f>IF(Provozování!$V$16="Neaktivní",0,Provozování!W36)</f>
        <v>0</v>
      </c>
      <c r="S66" s="133">
        <f>IF(YEAR(Postup!$H$25)&gt;$S$53,Provozování!Y36,IF(AND(DAY(Postup!$H$25)=31,MONTH(Postup!$H$25)=12,YEAR(Postup!$H$25)=$S$53),Provozování!Y36,IF(YEAR(Postup!$H$25)=$S$53,Provozování!$BL36,0)))</f>
        <v>0</v>
      </c>
      <c r="T66" s="129">
        <f>IF(YEAR(Postup!$H$25)&gt;$S$53,Provozování!Z36,IF(AND(DAY(Postup!$H$25)=31,MONTH(Postup!$H$25)=12,YEAR(Postup!$H$25)=$S$53),Provozování!Z36,IF(YEAR(Postup!$H$25)=$S$53,Provozování!$BM36,0)))</f>
        <v>0</v>
      </c>
      <c r="U66" s="133">
        <f>IF(Provozování!$AA$16="Neaktivní",0,Provozování!AA36)</f>
        <v>0</v>
      </c>
      <c r="V66" s="129">
        <f>IF(Provozování!$AA$16="Neaktivní",0,Provozování!AB36)</f>
        <v>0</v>
      </c>
      <c r="W66" s="133">
        <f>IF(YEAR(Postup!$H$25)&gt;$W$53,Provozování!AD36,IF(AND(DAY(Postup!$H$25)=31,MONTH(Postup!$H$25)=12,YEAR(Postup!$H$25)=$W$53),Provozování!AD36,IF(YEAR(Postup!$H$25)=$W$53,Provozování!$BL36,0)))</f>
        <v>0</v>
      </c>
      <c r="X66" s="129">
        <f>IF(YEAR(Postup!$H$25)&gt;$W$53,Provozování!AE36,IF(AND(DAY(Postup!$H$25)=31,MONTH(Postup!$H$25)=12,YEAR(Postup!$H$25)=$W$53),Provozování!AE36,IF(YEAR(Postup!$H$25)=$W$53,Provozování!$BM36,0)))</f>
        <v>0</v>
      </c>
      <c r="Y66" s="133">
        <f>IF(Provozování!$AF$16="Neaktivní",0,Provozování!AF36)</f>
        <v>0</v>
      </c>
      <c r="Z66" s="129">
        <f>IF(Provozování!$AF$16="Neaktivní",0,Provozování!AG36)</f>
        <v>0</v>
      </c>
      <c r="AA66" s="133">
        <f>IF(YEAR(Postup!$H$25)&gt;$AA$53,Provozování!AI36,IF(AND(DAY(Postup!$H$25)=31,MONTH(Postup!$H$25)=12,YEAR(Postup!$H$25)=$AA$53),Provozování!AI36,IF(YEAR(Postup!$H$25)=$AA$53,Provozování!$BL36,0)))</f>
        <v>0</v>
      </c>
      <c r="AB66" s="129">
        <f>IF(YEAR(Postup!$H$25)&gt;$AA$53,Provozování!AJ36,IF(AND(DAY(Postup!$H$25)=31,MONTH(Postup!$H$25)=12,YEAR(Postup!$H$25)=$AA$53),Provozování!AJ36,IF(YEAR(Postup!$H$25)=$AA$53,Provozování!$BM36,0)))</f>
        <v>0</v>
      </c>
      <c r="AC66" s="133">
        <f>IF(Provozování!$AK$16="Neaktivní",0,Provozování!AK36)</f>
        <v>0</v>
      </c>
      <c r="AD66" s="129">
        <f>IF(Provozování!$AK$16="Neaktivní",0,Provozování!AL36)</f>
        <v>0</v>
      </c>
      <c r="AE66" s="133">
        <f>IF(YEAR(Postup!$H$25)&gt;$AE$53,Provozování!AN36,IF(AND(DAY(Postup!$H$25)=31,MONTH(Postup!$H$25)=12,YEAR(Postup!$H$25)=$AE$53),Provozování!AN36,IF(YEAR(Postup!$H$25)=$AE$53,Provozování!$BL36,0)))</f>
        <v>0</v>
      </c>
      <c r="AF66" s="129">
        <f>IF(YEAR(Postup!$H$25)&gt;$AE$53,Provozování!AO36,IF(AND(DAY(Postup!$H$25)=31,MONTH(Postup!$H$25)=12,YEAR(Postup!$H$25)=$AE$53),Provozování!AO36,IF(YEAR(Postup!$H$25)=$AE$53,Provozování!$BM36,0)))</f>
        <v>0</v>
      </c>
      <c r="AG66" s="133">
        <f>IF(Provozování!$AP$16="Neaktivní",0,Provozování!AP36)</f>
        <v>0</v>
      </c>
      <c r="AH66" s="129">
        <f>IF(Provozování!$AP$16="Neaktivní",0,Provozování!AQ36)</f>
        <v>0</v>
      </c>
      <c r="AI66" s="133">
        <f>IF(YEAR(Postup!$H$25)&gt;$AI$53,Provozování!AS36,IF(AND(DAY(Postup!$H$25)=31,MONTH(Postup!$H$25)=12,YEAR(Postup!$H$25)=$AI$53),Provozování!AS36,IF(YEAR(Postup!$H$25)=$AI$53,Provozování!$BL36,0)))</f>
        <v>0</v>
      </c>
      <c r="AJ66" s="129">
        <f>IF(YEAR(Postup!$H$25)&gt;$AI$53,Provozování!AT36,IF(AND(DAY(Postup!$H$25)=31,MONTH(Postup!$H$25)=12,YEAR(Postup!$H$25)=$AI$53),Provozování!AT36,IF(YEAR(Postup!$H$25)=$AI$53,Provozování!$BM36,0)))</f>
        <v>0</v>
      </c>
      <c r="AK66" s="133">
        <f>IF(Provozování!$AU$16="Neaktivní",0,Provozování!AU36)</f>
        <v>0</v>
      </c>
      <c r="AL66" s="129">
        <f>IF(Provozování!$AU$16="Neaktivní",0,Provozování!AV36)</f>
        <v>0</v>
      </c>
      <c r="AM66" s="133">
        <f>IF(YEAR(Postup!$H$25)&gt;$AM$53,Provozování!AX36,IF(AND(DAY(Postup!$H$25)=31,MONTH(Postup!$H$25)=12,YEAR(Postup!$H$25)=$AM$53),Provozování!AX36,IF(YEAR(Postup!$H$25)=$AM$53,Provozování!$BL36,0)))</f>
        <v>0</v>
      </c>
      <c r="AN66" s="129">
        <f>IF(YEAR(Postup!$H$25)&gt;$AM$53,Provozování!AY36,IF(AND(DAY(Postup!$H$25)=31,MONTH(Postup!$H$25)=12,YEAR(Postup!$H$25)=$AM$53),Provozování!AY36,IF(YEAR(Postup!$H$25)=$AM$53,Provozování!$BM36,0)))</f>
        <v>0</v>
      </c>
      <c r="AO66" s="133">
        <f>IF(Provozování!$AZ$16="Neaktivní",0,Provozování!AZ36)</f>
        <v>0</v>
      </c>
      <c r="AP66" s="129">
        <f>IF(Provozování!$AZ$16="Neaktivní",0,Provozování!BA36)</f>
        <v>0</v>
      </c>
      <c r="AQ66" s="133">
        <f>IF(YEAR(Postup!$H$25)&gt;$AQ$53,Provozování!BC36,IF(AND(DAY(Postup!$H$25)=31,MONTH(Postup!$H$25)=12,YEAR(Postup!$H$25)=$AQ$53),Provozování!BC36,IF(YEAR(Postup!$H$25)=$AQ$53,Provozování!$BL36,0)))</f>
        <v>0</v>
      </c>
      <c r="AR66" s="129">
        <f>IF(YEAR(Postup!$H$25)&gt;$AM$53,Provozování!BD36,IF(AND(DAY(Postup!$H$25)=31,MONTH(Postup!$H$25)=12,YEAR(Postup!$H$25)=$AM$53),Provozování!BD36,IF(YEAR(Postup!$H$25)=$AM$53,Provozování!$BM36,0)))</f>
        <v>0</v>
      </c>
      <c r="AS66" s="133">
        <f>IF(Provozování!$BE$16="Neaktivní",0,Provozování!BE36)</f>
        <v>0</v>
      </c>
      <c r="AT66" s="129">
        <f>IF(Provozování!$BE$16="Neaktivní",0,Provozování!BF36)</f>
        <v>0</v>
      </c>
      <c r="AU66" s="133">
        <f>IF(YEAR(Postup!$H$25)&gt;$AU$53,Provozování!BH36,IF(AND(DAY(Postup!$H$25)=31,MONTH(Postup!$H$25)=12,YEAR(Postup!$H$25)=$AU$53),Provozování!BH36,IF(YEAR(Postup!$H$25)=$AU$53,Provozování!$BL36,0)))</f>
        <v>0</v>
      </c>
      <c r="AV66" s="129">
        <f>IF(YEAR(Postup!$H$25)&gt;$AU$53,Provozování!BI36,IF(AND(DAY(Postup!$H$25)=31,MONTH(Postup!$H$25)=12,YEAR(Postup!$H$25)=$AU$53),Provozování!BI36,IF(YEAR(Postup!$H$25)=$AU$53,Provozování!$BM36,0)))</f>
        <v>0</v>
      </c>
      <c r="AW66" s="133">
        <f>IF(Provozování!$BJ$16="Neaktivní",0,Provozování!BJ36)</f>
        <v>0</v>
      </c>
      <c r="AX66" s="129">
        <f>IF(Provozování!$BJ$16="Neaktivní",0,Provozování!BK36)</f>
        <v>0</v>
      </c>
    </row>
    <row r="67" spans="1:50" hidden="1" x14ac:dyDescent="0.25">
      <c r="A67" s="31"/>
      <c r="C67" s="21"/>
      <c r="D67" s="348"/>
      <c r="E67" s="348"/>
      <c r="F67" s="3"/>
      <c r="G67" s="133">
        <f>IF(AND(DAY(Postup!$H$24)=1,MONTH(Postup!$H$24)=1),Provozování!E37,Provozování!G37)</f>
        <v>0.23571506849315069</v>
      </c>
      <c r="H67" s="129">
        <f>IF(AND(DAY(Postup!$H$24)=1,MONTH(Postup!$H$24)=1),Provozování!F37,Provozování!H37)</f>
        <v>0.66360547945205484</v>
      </c>
      <c r="I67" s="133">
        <f>IF(Provozování!$I$16="Neaktivní",0,Provozování!I37)</f>
        <v>0</v>
      </c>
      <c r="J67" s="129">
        <f>IF(Provozování!$I$16="Neaktivní",0,Provozování!J37)</f>
        <v>0</v>
      </c>
      <c r="K67" s="133">
        <f>IF(YEAR(Postup!$H$25)&gt;$K$53,Provozování!O37,IF(AND(DAY(Postup!$H$25)=31,MONTH(Postup!$H$25)=12,YEAR(Postup!$H$25)=$K$53),Provozování!O37,IF(YEAR(Postup!$H$25)=$K$53,Provozování!$BL37,0)))</f>
        <v>0.32656000000000002</v>
      </c>
      <c r="L67" s="129">
        <f>IF(YEAR(Postup!$H$25)&gt;$K$53,Provozování!P37,IF(AND(DAY(Postup!$H$25)=31,MONTH(Postup!$H$25)=12,YEAR(Postup!$H$25)=$K$53),Provozování!P37,IF(YEAR(Postup!$H$25)=$K$53,Provozování!$BM37,0)))</f>
        <v>0.91936000000000007</v>
      </c>
      <c r="M67" s="133">
        <f>IF(Provozování!$Q$16="Neaktivní",0,Provozování!Q37)</f>
        <v>0</v>
      </c>
      <c r="N67" s="129">
        <f>IF(Provozování!$Q$16="Neaktivní",0,Provozování!R37)</f>
        <v>0</v>
      </c>
      <c r="O67" s="133">
        <f>IF(YEAR(Postup!$H$25)&gt;$O$53,Provozování!T37,IF(AND(DAY(Postup!$H$25)=31,MONTH(Postup!$H$25)=12,YEAR(Postup!$H$25)=$O$53),Provozování!T37,IF(YEAR(Postup!$H$25)=$O$53,Provozování!$BL37,0)))</f>
        <v>0</v>
      </c>
      <c r="P67" s="129">
        <f>IF(YEAR(Postup!$H$25)&gt;$O$53,Provozování!U37,IF(AND(DAY(Postup!$H$25)=31,MONTH(Postup!$H$25)=12,YEAR(Postup!$H$25)=$O$53),Provozování!U37,IF(YEAR(Postup!$H$25)=$O$53,Provozování!$BM37,0)))</f>
        <v>0</v>
      </c>
      <c r="Q67" s="133">
        <f>IF(Provozování!$V$16="Neaktivní",0,Provozování!V37)</f>
        <v>0</v>
      </c>
      <c r="R67" s="129">
        <f>IF(Provozování!$V$16="Neaktivní",0,Provozování!W37)</f>
        <v>0</v>
      </c>
      <c r="S67" s="133">
        <f>IF(YEAR(Postup!$H$25)&gt;$S$53,Provozování!Y37,IF(AND(DAY(Postup!$H$25)=31,MONTH(Postup!$H$25)=12,YEAR(Postup!$H$25)=$S$53),Provozování!Y37,IF(YEAR(Postup!$H$25)=$S$53,Provozování!$BL37,0)))</f>
        <v>0</v>
      </c>
      <c r="T67" s="129">
        <f>IF(YEAR(Postup!$H$25)&gt;$S$53,Provozování!Z37,IF(AND(DAY(Postup!$H$25)=31,MONTH(Postup!$H$25)=12,YEAR(Postup!$H$25)=$S$53),Provozování!Z37,IF(YEAR(Postup!$H$25)=$S$53,Provozování!$BM37,0)))</f>
        <v>0</v>
      </c>
      <c r="U67" s="133">
        <f>IF(Provozování!$AA$16="Neaktivní",0,Provozování!AA37)</f>
        <v>0</v>
      </c>
      <c r="V67" s="129">
        <f>IF(Provozování!$AA$16="Neaktivní",0,Provozování!AB37)</f>
        <v>0</v>
      </c>
      <c r="W67" s="133">
        <f>IF(YEAR(Postup!$H$25)&gt;$W$53,Provozování!AD37,IF(AND(DAY(Postup!$H$25)=31,MONTH(Postup!$H$25)=12,YEAR(Postup!$H$25)=$W$53),Provozování!AD37,IF(YEAR(Postup!$H$25)=$W$53,Provozování!$BL37,0)))</f>
        <v>0</v>
      </c>
      <c r="X67" s="129">
        <f>IF(YEAR(Postup!$H$25)&gt;$W$53,Provozování!AE37,IF(AND(DAY(Postup!$H$25)=31,MONTH(Postup!$H$25)=12,YEAR(Postup!$H$25)=$W$53),Provozování!AE37,IF(YEAR(Postup!$H$25)=$W$53,Provozování!$BM37,0)))</f>
        <v>0</v>
      </c>
      <c r="Y67" s="133">
        <f>IF(Provozování!$AF$16="Neaktivní",0,Provozování!AF37)</f>
        <v>0</v>
      </c>
      <c r="Z67" s="129">
        <f>IF(Provozování!$AF$16="Neaktivní",0,Provozování!AG37)</f>
        <v>0</v>
      </c>
      <c r="AA67" s="133">
        <f>IF(YEAR(Postup!$H$25)&gt;$AA$53,Provozování!AI37,IF(AND(DAY(Postup!$H$25)=31,MONTH(Postup!$H$25)=12,YEAR(Postup!$H$25)=$AA$53),Provozování!AI37,IF(YEAR(Postup!$H$25)=$AA$53,Provozování!$BL37,0)))</f>
        <v>0</v>
      </c>
      <c r="AB67" s="129">
        <f>IF(YEAR(Postup!$H$25)&gt;$AA$53,Provozování!AJ37,IF(AND(DAY(Postup!$H$25)=31,MONTH(Postup!$H$25)=12,YEAR(Postup!$H$25)=$AA$53),Provozování!AJ37,IF(YEAR(Postup!$H$25)=$AA$53,Provozování!$BM37,0)))</f>
        <v>0</v>
      </c>
      <c r="AC67" s="133">
        <f>IF(Provozování!$AK$16="Neaktivní",0,Provozování!AK37)</f>
        <v>0</v>
      </c>
      <c r="AD67" s="129">
        <f>IF(Provozování!$AK$16="Neaktivní",0,Provozování!AL37)</f>
        <v>0</v>
      </c>
      <c r="AE67" s="133">
        <f>IF(YEAR(Postup!$H$25)&gt;$AE$53,Provozování!AN37,IF(AND(DAY(Postup!$H$25)=31,MONTH(Postup!$H$25)=12,YEAR(Postup!$H$25)=$AE$53),Provozování!AN37,IF(YEAR(Postup!$H$25)=$AE$53,Provozování!$BL37,0)))</f>
        <v>0</v>
      </c>
      <c r="AF67" s="129">
        <f>IF(YEAR(Postup!$H$25)&gt;$AE$53,Provozování!AO37,IF(AND(DAY(Postup!$H$25)=31,MONTH(Postup!$H$25)=12,YEAR(Postup!$H$25)=$AE$53),Provozování!AO37,IF(YEAR(Postup!$H$25)=$AE$53,Provozování!$BM37,0)))</f>
        <v>0</v>
      </c>
      <c r="AG67" s="133">
        <f>IF(Provozování!$AP$16="Neaktivní",0,Provozování!AP37)</f>
        <v>0</v>
      </c>
      <c r="AH67" s="129">
        <f>IF(Provozování!$AP$16="Neaktivní",0,Provozování!AQ37)</f>
        <v>0</v>
      </c>
      <c r="AI67" s="133">
        <f>IF(YEAR(Postup!$H$25)&gt;$AI$53,Provozování!AS37,IF(AND(DAY(Postup!$H$25)=31,MONTH(Postup!$H$25)=12,YEAR(Postup!$H$25)=$AI$53),Provozování!AS37,IF(YEAR(Postup!$H$25)=$AI$53,Provozování!$BL37,0)))</f>
        <v>0</v>
      </c>
      <c r="AJ67" s="129">
        <f>IF(YEAR(Postup!$H$25)&gt;$AI$53,Provozování!AT37,IF(AND(DAY(Postup!$H$25)=31,MONTH(Postup!$H$25)=12,YEAR(Postup!$H$25)=$AI$53),Provozování!AT37,IF(YEAR(Postup!$H$25)=$AI$53,Provozování!$BM37,0)))</f>
        <v>0</v>
      </c>
      <c r="AK67" s="133">
        <f>IF(Provozování!$AU$16="Neaktivní",0,Provozování!AU37)</f>
        <v>0</v>
      </c>
      <c r="AL67" s="129">
        <f>IF(Provozování!$AU$16="Neaktivní",0,Provozování!AV37)</f>
        <v>0</v>
      </c>
      <c r="AM67" s="133">
        <f>IF(YEAR(Postup!$H$25)&gt;$AM$53,Provozování!AX37,IF(AND(DAY(Postup!$H$25)=31,MONTH(Postup!$H$25)=12,YEAR(Postup!$H$25)=$AM$53),Provozování!AX37,IF(YEAR(Postup!$H$25)=$AM$53,Provozování!$BL37,0)))</f>
        <v>0</v>
      </c>
      <c r="AN67" s="129">
        <f>IF(YEAR(Postup!$H$25)&gt;$AM$53,Provozování!AY37,IF(AND(DAY(Postup!$H$25)=31,MONTH(Postup!$H$25)=12,YEAR(Postup!$H$25)=$AM$53),Provozování!AY37,IF(YEAR(Postup!$H$25)=$AM$53,Provozování!$BM37,0)))</f>
        <v>0</v>
      </c>
      <c r="AO67" s="133">
        <f>IF(Provozování!$AZ$16="Neaktivní",0,Provozování!AZ37)</f>
        <v>0</v>
      </c>
      <c r="AP67" s="129">
        <f>IF(Provozování!$AZ$16="Neaktivní",0,Provozování!BA37)</f>
        <v>0</v>
      </c>
      <c r="AQ67" s="133">
        <f>IF(YEAR(Postup!$H$25)&gt;$AQ$53,Provozování!BC37,IF(AND(DAY(Postup!$H$25)=31,MONTH(Postup!$H$25)=12,YEAR(Postup!$H$25)=$AQ$53),Provozování!BC37,IF(YEAR(Postup!$H$25)=$AQ$53,Provozování!$BL37,0)))</f>
        <v>0</v>
      </c>
      <c r="AR67" s="129">
        <f>IF(YEAR(Postup!$H$25)&gt;$AM$53,Provozování!BD37,IF(AND(DAY(Postup!$H$25)=31,MONTH(Postup!$H$25)=12,YEAR(Postup!$H$25)=$AM$53),Provozování!BD37,IF(YEAR(Postup!$H$25)=$AM$53,Provozování!$BM37,0)))</f>
        <v>0</v>
      </c>
      <c r="AS67" s="133">
        <f>IF(Provozování!$BE$16="Neaktivní",0,Provozování!BE37)</f>
        <v>0</v>
      </c>
      <c r="AT67" s="129">
        <f>IF(Provozování!$BE$16="Neaktivní",0,Provozování!BF37)</f>
        <v>0</v>
      </c>
      <c r="AU67" s="133">
        <f>IF(YEAR(Postup!$H$25)&gt;$AU$53,Provozování!BH37,IF(AND(DAY(Postup!$H$25)=31,MONTH(Postup!$H$25)=12,YEAR(Postup!$H$25)=$AU$53),Provozování!BH37,IF(YEAR(Postup!$H$25)=$AU$53,Provozování!$BL37,0)))</f>
        <v>0</v>
      </c>
      <c r="AV67" s="129">
        <f>IF(YEAR(Postup!$H$25)&gt;$AU$53,Provozování!BI37,IF(AND(DAY(Postup!$H$25)=31,MONTH(Postup!$H$25)=12,YEAR(Postup!$H$25)=$AU$53),Provozování!BI37,IF(YEAR(Postup!$H$25)=$AU$53,Provozování!$BM37,0)))</f>
        <v>0</v>
      </c>
      <c r="AW67" s="133">
        <f>IF(Provozování!$BJ$16="Neaktivní",0,Provozování!BJ37)</f>
        <v>0</v>
      </c>
      <c r="AX67" s="129">
        <f>IF(Provozování!$BJ$16="Neaktivní",0,Provozování!BK37)</f>
        <v>0</v>
      </c>
    </row>
    <row r="68" spans="1:50" hidden="1" x14ac:dyDescent="0.25">
      <c r="A68" s="31"/>
      <c r="C68" s="10"/>
      <c r="D68" s="348"/>
      <c r="E68" s="348"/>
      <c r="F68" s="3"/>
      <c r="G68" s="133">
        <f>IF(AND(DAY(Postup!$H$24)=1,MONTH(Postup!$H$24)=1),Provozování!E38,Provozování!G38)</f>
        <v>0.13262095452054795</v>
      </c>
      <c r="H68" s="129">
        <f>IF(AND(DAY(Postup!$H$24)=1,MONTH(Postup!$H$24)=1),Provozování!F38,Provozování!H38)</f>
        <v>0.25147945205479455</v>
      </c>
      <c r="I68" s="133">
        <f>IF(Provozování!$I$16="Neaktivní",0,Provozování!I38)</f>
        <v>0</v>
      </c>
      <c r="J68" s="129">
        <f>IF(Provozování!$I$16="Neaktivní",0,Provozování!J38)</f>
        <v>0</v>
      </c>
      <c r="K68" s="133">
        <f>IF(YEAR(Postup!$H$25)&gt;$K$53,Provozování!O38,IF(AND(DAY(Postup!$H$25)=31,MONTH(Postup!$H$25)=12,YEAR(Postup!$H$25)=$K$53),Provozování!O38,IF(YEAR(Postup!$H$25)=$K$53,Provozování!$BL38,0)))</f>
        <v>0.18373326400000001</v>
      </c>
      <c r="L68" s="129">
        <f>IF(YEAR(Postup!$H$25)&gt;$K$53,Provozování!P38,IF(AND(DAY(Postup!$H$25)=31,MONTH(Postup!$H$25)=12,YEAR(Postup!$H$25)=$K$53),Provozování!P38,IF(YEAR(Postup!$H$25)=$K$53,Provozování!$BM38,0)))</f>
        <v>0.34800000000000003</v>
      </c>
      <c r="M68" s="133">
        <f>IF(Provozování!$Q$16="Neaktivní",0,Provozování!Q38)</f>
        <v>0</v>
      </c>
      <c r="N68" s="129">
        <f>IF(Provozování!$Q$16="Neaktivní",0,Provozování!R38)</f>
        <v>0</v>
      </c>
      <c r="O68" s="133">
        <f>IF(YEAR(Postup!$H$25)&gt;$O$53,Provozování!T38,IF(AND(DAY(Postup!$H$25)=31,MONTH(Postup!$H$25)=12,YEAR(Postup!$H$25)=$O$53),Provozování!T38,IF(YEAR(Postup!$H$25)=$O$53,Provozování!$BL38,0)))</f>
        <v>0</v>
      </c>
      <c r="P68" s="129">
        <f>IF(YEAR(Postup!$H$25)&gt;$O$53,Provozování!U38,IF(AND(DAY(Postup!$H$25)=31,MONTH(Postup!$H$25)=12,YEAR(Postup!$H$25)=$O$53),Provozování!U38,IF(YEAR(Postup!$H$25)=$O$53,Provozování!$BM38,0)))</f>
        <v>0</v>
      </c>
      <c r="Q68" s="133">
        <f>IF(Provozování!$V$16="Neaktivní",0,Provozování!V38)</f>
        <v>0</v>
      </c>
      <c r="R68" s="129">
        <f>IF(Provozování!$V$16="Neaktivní",0,Provozování!W38)</f>
        <v>0</v>
      </c>
      <c r="S68" s="133">
        <f>IF(YEAR(Postup!$H$25)&gt;$S$53,Provozování!Y38,IF(AND(DAY(Postup!$H$25)=31,MONTH(Postup!$H$25)=12,YEAR(Postup!$H$25)=$S$53),Provozování!Y38,IF(YEAR(Postup!$H$25)=$S$53,Provozování!$BL38,0)))</f>
        <v>0</v>
      </c>
      <c r="T68" s="129">
        <f>IF(YEAR(Postup!$H$25)&gt;$S$53,Provozování!Z38,IF(AND(DAY(Postup!$H$25)=31,MONTH(Postup!$H$25)=12,YEAR(Postup!$H$25)=$S$53),Provozování!Z38,IF(YEAR(Postup!$H$25)=$S$53,Provozování!$BM38,0)))</f>
        <v>0</v>
      </c>
      <c r="U68" s="133">
        <f>IF(Provozování!$AA$16="Neaktivní",0,Provozování!AA38)</f>
        <v>0</v>
      </c>
      <c r="V68" s="129">
        <f>IF(Provozování!$AA$16="Neaktivní",0,Provozování!AB38)</f>
        <v>0</v>
      </c>
      <c r="W68" s="133">
        <f>IF(YEAR(Postup!$H$25)&gt;$W$53,Provozování!AD38,IF(AND(DAY(Postup!$H$25)=31,MONTH(Postup!$H$25)=12,YEAR(Postup!$H$25)=$W$53),Provozování!AD38,IF(YEAR(Postup!$H$25)=$W$53,Provozování!$BL38,0)))</f>
        <v>0</v>
      </c>
      <c r="X68" s="129">
        <f>IF(YEAR(Postup!$H$25)&gt;$W$53,Provozování!AE38,IF(AND(DAY(Postup!$H$25)=31,MONTH(Postup!$H$25)=12,YEAR(Postup!$H$25)=$W$53),Provozování!AE38,IF(YEAR(Postup!$H$25)=$W$53,Provozování!$BM38,0)))</f>
        <v>0</v>
      </c>
      <c r="Y68" s="133">
        <f>IF(Provozování!$AF$16="Neaktivní",0,Provozování!AF38)</f>
        <v>0</v>
      </c>
      <c r="Z68" s="129">
        <f>IF(Provozování!$AF$16="Neaktivní",0,Provozování!AG38)</f>
        <v>0</v>
      </c>
      <c r="AA68" s="133">
        <f>IF(YEAR(Postup!$H$25)&gt;$AA$53,Provozování!AI38,IF(AND(DAY(Postup!$H$25)=31,MONTH(Postup!$H$25)=12,YEAR(Postup!$H$25)=$AA$53),Provozování!AI38,IF(YEAR(Postup!$H$25)=$AA$53,Provozování!$BL38,0)))</f>
        <v>0</v>
      </c>
      <c r="AB68" s="129">
        <f>IF(YEAR(Postup!$H$25)&gt;$AA$53,Provozování!AJ38,IF(AND(DAY(Postup!$H$25)=31,MONTH(Postup!$H$25)=12,YEAR(Postup!$H$25)=$AA$53),Provozování!AJ38,IF(YEAR(Postup!$H$25)=$AA$53,Provozování!$BM38,0)))</f>
        <v>0</v>
      </c>
      <c r="AC68" s="133">
        <f>IF(Provozování!$AK$16="Neaktivní",0,Provozování!AK38)</f>
        <v>0</v>
      </c>
      <c r="AD68" s="129">
        <f>IF(Provozování!$AK$16="Neaktivní",0,Provozování!AL38)</f>
        <v>0</v>
      </c>
      <c r="AE68" s="133">
        <f>IF(YEAR(Postup!$H$25)&gt;$AE$53,Provozování!AN38,IF(AND(DAY(Postup!$H$25)=31,MONTH(Postup!$H$25)=12,YEAR(Postup!$H$25)=$AE$53),Provozování!AN38,IF(YEAR(Postup!$H$25)=$AE$53,Provozování!$BL38,0)))</f>
        <v>0</v>
      </c>
      <c r="AF68" s="129">
        <f>IF(YEAR(Postup!$H$25)&gt;$AE$53,Provozování!AO38,IF(AND(DAY(Postup!$H$25)=31,MONTH(Postup!$H$25)=12,YEAR(Postup!$H$25)=$AE$53),Provozování!AO38,IF(YEAR(Postup!$H$25)=$AE$53,Provozování!$BM38,0)))</f>
        <v>0</v>
      </c>
      <c r="AG68" s="133">
        <f>IF(Provozování!$AP$16="Neaktivní",0,Provozování!AP38)</f>
        <v>0</v>
      </c>
      <c r="AH68" s="129">
        <f>IF(Provozování!$AP$16="Neaktivní",0,Provozování!AQ38)</f>
        <v>0</v>
      </c>
      <c r="AI68" s="133">
        <f>IF(YEAR(Postup!$H$25)&gt;$AI$53,Provozování!AS38,IF(AND(DAY(Postup!$H$25)=31,MONTH(Postup!$H$25)=12,YEAR(Postup!$H$25)=$AI$53),Provozování!AS38,IF(YEAR(Postup!$H$25)=$AI$53,Provozování!$BL38,0)))</f>
        <v>0</v>
      </c>
      <c r="AJ68" s="129">
        <f>IF(YEAR(Postup!$H$25)&gt;$AI$53,Provozování!AT38,IF(AND(DAY(Postup!$H$25)=31,MONTH(Postup!$H$25)=12,YEAR(Postup!$H$25)=$AI$53),Provozování!AT38,IF(YEAR(Postup!$H$25)=$AI$53,Provozování!$BM38,0)))</f>
        <v>0</v>
      </c>
      <c r="AK68" s="133">
        <f>IF(Provozování!$AU$16="Neaktivní",0,Provozování!AU38)</f>
        <v>0</v>
      </c>
      <c r="AL68" s="129">
        <f>IF(Provozování!$AU$16="Neaktivní",0,Provozování!AV38)</f>
        <v>0</v>
      </c>
      <c r="AM68" s="133">
        <f>IF(YEAR(Postup!$H$25)&gt;$AM$53,Provozování!AX38,IF(AND(DAY(Postup!$H$25)=31,MONTH(Postup!$H$25)=12,YEAR(Postup!$H$25)=$AM$53),Provozování!AX38,IF(YEAR(Postup!$H$25)=$AM$53,Provozování!$BL38,0)))</f>
        <v>0</v>
      </c>
      <c r="AN68" s="129">
        <f>IF(YEAR(Postup!$H$25)&gt;$AM$53,Provozování!AY38,IF(AND(DAY(Postup!$H$25)=31,MONTH(Postup!$H$25)=12,YEAR(Postup!$H$25)=$AM$53),Provozování!AY38,IF(YEAR(Postup!$H$25)=$AM$53,Provozování!$BM38,0)))</f>
        <v>0</v>
      </c>
      <c r="AO68" s="133">
        <f>IF(Provozování!$AZ$16="Neaktivní",0,Provozování!AZ38)</f>
        <v>0</v>
      </c>
      <c r="AP68" s="129">
        <f>IF(Provozování!$AZ$16="Neaktivní",0,Provozování!BA38)</f>
        <v>0</v>
      </c>
      <c r="AQ68" s="133">
        <f>IF(YEAR(Postup!$H$25)&gt;$AQ$53,Provozování!BC38,IF(AND(DAY(Postup!$H$25)=31,MONTH(Postup!$H$25)=12,YEAR(Postup!$H$25)=$AQ$53),Provozování!BC38,IF(YEAR(Postup!$H$25)=$AQ$53,Provozování!$BL38,0)))</f>
        <v>0</v>
      </c>
      <c r="AR68" s="129">
        <f>IF(YEAR(Postup!$H$25)&gt;$AM$53,Provozování!BD38,IF(AND(DAY(Postup!$H$25)=31,MONTH(Postup!$H$25)=12,YEAR(Postup!$H$25)=$AM$53),Provozování!BD38,IF(YEAR(Postup!$H$25)=$AM$53,Provozování!$BM38,0)))</f>
        <v>0</v>
      </c>
      <c r="AS68" s="133">
        <f>IF(Provozování!$BE$16="Neaktivní",0,Provozování!BE38)</f>
        <v>0</v>
      </c>
      <c r="AT68" s="129">
        <f>IF(Provozování!$BE$16="Neaktivní",0,Provozování!BF38)</f>
        <v>0</v>
      </c>
      <c r="AU68" s="133">
        <f>IF(YEAR(Postup!$H$25)&gt;$AU$53,Provozování!BH38,IF(AND(DAY(Postup!$H$25)=31,MONTH(Postup!$H$25)=12,YEAR(Postup!$H$25)=$AU$53),Provozování!BH38,IF(YEAR(Postup!$H$25)=$AU$53,Provozování!$BL38,0)))</f>
        <v>0</v>
      </c>
      <c r="AV68" s="129">
        <f>IF(YEAR(Postup!$H$25)&gt;$AU$53,Provozování!BI38,IF(AND(DAY(Postup!$H$25)=31,MONTH(Postup!$H$25)=12,YEAR(Postup!$H$25)=$AU$53),Provozování!BI38,IF(YEAR(Postup!$H$25)=$AU$53,Provozování!$BM38,0)))</f>
        <v>0</v>
      </c>
      <c r="AW68" s="133">
        <f>IF(Provozování!$BJ$16="Neaktivní",0,Provozování!BJ38)</f>
        <v>0</v>
      </c>
      <c r="AX68" s="129">
        <f>IF(Provozování!$BJ$16="Neaktivní",0,Provozování!BK38)</f>
        <v>0</v>
      </c>
    </row>
    <row r="69" spans="1:50" hidden="1" x14ac:dyDescent="0.25">
      <c r="A69" s="31"/>
      <c r="C69" s="13"/>
      <c r="D69" s="348"/>
      <c r="E69" s="348"/>
      <c r="F69" s="3"/>
      <c r="G69" s="133">
        <f>IF(AND(DAY(Postup!$H$24)=1,MONTH(Postup!$H$24)=1),Provozování!E39,Provozování!G39)</f>
        <v>0</v>
      </c>
      <c r="H69" s="129">
        <f>IF(AND(DAY(Postup!$H$24)=1,MONTH(Postup!$H$24)=1),Provozování!F39,Provozování!H39)</f>
        <v>7.5068493150684933E-3</v>
      </c>
      <c r="I69" s="133">
        <f>IF(Provozování!$I$16="Neaktivní",0,Provozování!I39)</f>
        <v>0</v>
      </c>
      <c r="J69" s="129">
        <f>IF(Provozování!$I$16="Neaktivní",0,Provozování!J39)</f>
        <v>0</v>
      </c>
      <c r="K69" s="133">
        <f>IF(YEAR(Postup!$H$25)&gt;$K$53,Provozování!O39,IF(AND(DAY(Postup!$H$25)=31,MONTH(Postup!$H$25)=12,YEAR(Postup!$H$25)=$K$53),Provozování!O39,IF(YEAR(Postup!$H$25)=$K$53,Provozování!$BL39,0)))</f>
        <v>0</v>
      </c>
      <c r="L69" s="129">
        <f>IF(YEAR(Postup!$H$25)&gt;$K$53,Provozování!P39,IF(AND(DAY(Postup!$H$25)=31,MONTH(Postup!$H$25)=12,YEAR(Postup!$H$25)=$K$53),Provozování!P39,IF(YEAR(Postup!$H$25)=$K$53,Provozování!$BM39,0)))</f>
        <v>0.01</v>
      </c>
      <c r="M69" s="133">
        <f>IF(Provozování!$Q$16="Neaktivní",0,Provozování!Q39)</f>
        <v>0</v>
      </c>
      <c r="N69" s="129">
        <f>IF(Provozování!$Q$16="Neaktivní",0,Provozování!R39)</f>
        <v>0</v>
      </c>
      <c r="O69" s="133">
        <f>IF(YEAR(Postup!$H$25)&gt;$O$53,Provozování!T39,IF(AND(DAY(Postup!$H$25)=31,MONTH(Postup!$H$25)=12,YEAR(Postup!$H$25)=$O$53),Provozování!T39,IF(YEAR(Postup!$H$25)=$O$53,Provozování!$BL39,0)))</f>
        <v>0</v>
      </c>
      <c r="P69" s="129">
        <f>IF(YEAR(Postup!$H$25)&gt;$O$53,Provozování!U39,IF(AND(DAY(Postup!$H$25)=31,MONTH(Postup!$H$25)=12,YEAR(Postup!$H$25)=$O$53),Provozování!U39,IF(YEAR(Postup!$H$25)=$O$53,Provozování!$BM39,0)))</f>
        <v>0</v>
      </c>
      <c r="Q69" s="133">
        <f>IF(Provozování!$V$16="Neaktivní",0,Provozování!V39)</f>
        <v>0</v>
      </c>
      <c r="R69" s="129">
        <f>IF(Provozování!$V$16="Neaktivní",0,Provozování!W39)</f>
        <v>0</v>
      </c>
      <c r="S69" s="133">
        <f>IF(YEAR(Postup!$H$25)&gt;$S$53,Provozování!Y39,IF(AND(DAY(Postup!$H$25)=31,MONTH(Postup!$H$25)=12,YEAR(Postup!$H$25)=$S$53),Provozování!Y39,IF(YEAR(Postup!$H$25)=$S$53,Provozování!$BL39,0)))</f>
        <v>0</v>
      </c>
      <c r="T69" s="129">
        <f>IF(YEAR(Postup!$H$25)&gt;$S$53,Provozování!Z39,IF(AND(DAY(Postup!$H$25)=31,MONTH(Postup!$H$25)=12,YEAR(Postup!$H$25)=$S$53),Provozování!Z39,IF(YEAR(Postup!$H$25)=$S$53,Provozování!$BM39,0)))</f>
        <v>0</v>
      </c>
      <c r="U69" s="133">
        <f>IF(Provozování!$AA$16="Neaktivní",0,Provozování!AA39)</f>
        <v>0</v>
      </c>
      <c r="V69" s="129">
        <f>IF(Provozování!$AA$16="Neaktivní",0,Provozování!AB39)</f>
        <v>0</v>
      </c>
      <c r="W69" s="133">
        <f>IF(YEAR(Postup!$H$25)&gt;$W$53,Provozování!AD39,IF(AND(DAY(Postup!$H$25)=31,MONTH(Postup!$H$25)=12,YEAR(Postup!$H$25)=$W$53),Provozování!AD39,IF(YEAR(Postup!$H$25)=$W$53,Provozování!$BL39,0)))</f>
        <v>0</v>
      </c>
      <c r="X69" s="129">
        <f>IF(YEAR(Postup!$H$25)&gt;$W$53,Provozování!AE39,IF(AND(DAY(Postup!$H$25)=31,MONTH(Postup!$H$25)=12,YEAR(Postup!$H$25)=$W$53),Provozování!AE39,IF(YEAR(Postup!$H$25)=$W$53,Provozování!$BM39,0)))</f>
        <v>0</v>
      </c>
      <c r="Y69" s="133">
        <f>IF(Provozování!$AF$16="Neaktivní",0,Provozování!AF39)</f>
        <v>0</v>
      </c>
      <c r="Z69" s="129">
        <f>IF(Provozování!$AF$16="Neaktivní",0,Provozování!AG39)</f>
        <v>0</v>
      </c>
      <c r="AA69" s="133">
        <f>IF(YEAR(Postup!$H$25)&gt;$AA$53,Provozování!AI39,IF(AND(DAY(Postup!$H$25)=31,MONTH(Postup!$H$25)=12,YEAR(Postup!$H$25)=$AA$53),Provozování!AI39,IF(YEAR(Postup!$H$25)=$AA$53,Provozování!$BL39,0)))</f>
        <v>0</v>
      </c>
      <c r="AB69" s="129">
        <f>IF(YEAR(Postup!$H$25)&gt;$AA$53,Provozování!AJ39,IF(AND(DAY(Postup!$H$25)=31,MONTH(Postup!$H$25)=12,YEAR(Postup!$H$25)=$AA$53),Provozování!AJ39,IF(YEAR(Postup!$H$25)=$AA$53,Provozování!$BM39,0)))</f>
        <v>0</v>
      </c>
      <c r="AC69" s="133">
        <f>IF(Provozování!$AK$16="Neaktivní",0,Provozování!AK39)</f>
        <v>0</v>
      </c>
      <c r="AD69" s="129">
        <f>IF(Provozování!$AK$16="Neaktivní",0,Provozování!AL39)</f>
        <v>0</v>
      </c>
      <c r="AE69" s="133">
        <f>IF(YEAR(Postup!$H$25)&gt;$AE$53,Provozování!AN39,IF(AND(DAY(Postup!$H$25)=31,MONTH(Postup!$H$25)=12,YEAR(Postup!$H$25)=$AE$53),Provozování!AN39,IF(YEAR(Postup!$H$25)=$AE$53,Provozování!$BL39,0)))</f>
        <v>0</v>
      </c>
      <c r="AF69" s="129">
        <f>IF(YEAR(Postup!$H$25)&gt;$AE$53,Provozování!AO39,IF(AND(DAY(Postup!$H$25)=31,MONTH(Postup!$H$25)=12,YEAR(Postup!$H$25)=$AE$53),Provozování!AO39,IF(YEAR(Postup!$H$25)=$AE$53,Provozování!$BM39,0)))</f>
        <v>0</v>
      </c>
      <c r="AG69" s="133">
        <f>IF(Provozování!$AP$16="Neaktivní",0,Provozování!AP39)</f>
        <v>0</v>
      </c>
      <c r="AH69" s="129">
        <f>IF(Provozování!$AP$16="Neaktivní",0,Provozování!AQ39)</f>
        <v>0</v>
      </c>
      <c r="AI69" s="133">
        <f>IF(YEAR(Postup!$H$25)&gt;$AI$53,Provozování!AS39,IF(AND(DAY(Postup!$H$25)=31,MONTH(Postup!$H$25)=12,YEAR(Postup!$H$25)=$AI$53),Provozování!AS39,IF(YEAR(Postup!$H$25)=$AI$53,Provozování!$BL39,0)))</f>
        <v>0</v>
      </c>
      <c r="AJ69" s="129">
        <f>IF(YEAR(Postup!$H$25)&gt;$AI$53,Provozování!AT39,IF(AND(DAY(Postup!$H$25)=31,MONTH(Postup!$H$25)=12,YEAR(Postup!$H$25)=$AI$53),Provozování!AT39,IF(YEAR(Postup!$H$25)=$AI$53,Provozování!$BM39,0)))</f>
        <v>0</v>
      </c>
      <c r="AK69" s="133">
        <f>IF(Provozování!$AU$16="Neaktivní",0,Provozování!AU39)</f>
        <v>0</v>
      </c>
      <c r="AL69" s="129">
        <f>IF(Provozování!$AU$16="Neaktivní",0,Provozování!AV39)</f>
        <v>0</v>
      </c>
      <c r="AM69" s="133">
        <f>IF(YEAR(Postup!$H$25)&gt;$AM$53,Provozování!AX39,IF(AND(DAY(Postup!$H$25)=31,MONTH(Postup!$H$25)=12,YEAR(Postup!$H$25)=$AM$53),Provozování!AX39,IF(YEAR(Postup!$H$25)=$AM$53,Provozování!$BL39,0)))</f>
        <v>0</v>
      </c>
      <c r="AN69" s="129">
        <f>IF(YEAR(Postup!$H$25)&gt;$AM$53,Provozování!AY39,IF(AND(DAY(Postup!$H$25)=31,MONTH(Postup!$H$25)=12,YEAR(Postup!$H$25)=$AM$53),Provozování!AY39,IF(YEAR(Postup!$H$25)=$AM$53,Provozování!$BM39,0)))</f>
        <v>0</v>
      </c>
      <c r="AO69" s="133">
        <f>IF(Provozování!$AZ$16="Neaktivní",0,Provozování!AZ39)</f>
        <v>0</v>
      </c>
      <c r="AP69" s="129">
        <f>IF(Provozování!$AZ$16="Neaktivní",0,Provozování!BA39)</f>
        <v>0</v>
      </c>
      <c r="AQ69" s="133">
        <f>IF(YEAR(Postup!$H$25)&gt;$AQ$53,Provozování!BC39,IF(AND(DAY(Postup!$H$25)=31,MONTH(Postup!$H$25)=12,YEAR(Postup!$H$25)=$AQ$53),Provozování!BC39,IF(YEAR(Postup!$H$25)=$AQ$53,Provozování!$BL39,0)))</f>
        <v>0</v>
      </c>
      <c r="AR69" s="129">
        <f>IF(YEAR(Postup!$H$25)&gt;$AM$53,Provozování!BD39,IF(AND(DAY(Postup!$H$25)=31,MONTH(Postup!$H$25)=12,YEAR(Postup!$H$25)=$AM$53),Provozování!BD39,IF(YEAR(Postup!$H$25)=$AM$53,Provozování!$BM39,0)))</f>
        <v>0</v>
      </c>
      <c r="AS69" s="133">
        <f>IF(Provozování!$BE$16="Neaktivní",0,Provozování!BE39)</f>
        <v>0</v>
      </c>
      <c r="AT69" s="129">
        <f>IF(Provozování!$BE$16="Neaktivní",0,Provozování!BF39)</f>
        <v>0</v>
      </c>
      <c r="AU69" s="133">
        <f>IF(YEAR(Postup!$H$25)&gt;$AU$53,Provozování!BH39,IF(AND(DAY(Postup!$H$25)=31,MONTH(Postup!$H$25)=12,YEAR(Postup!$H$25)=$AU$53),Provozování!BH39,IF(YEAR(Postup!$H$25)=$AU$53,Provozování!$BL39,0)))</f>
        <v>0</v>
      </c>
      <c r="AV69" s="129">
        <f>IF(YEAR(Postup!$H$25)&gt;$AU$53,Provozování!BI39,IF(AND(DAY(Postup!$H$25)=31,MONTH(Postup!$H$25)=12,YEAR(Postup!$H$25)=$AU$53),Provozování!BI39,IF(YEAR(Postup!$H$25)=$AU$53,Provozování!$BM39,0)))</f>
        <v>0</v>
      </c>
      <c r="AW69" s="133">
        <f>IF(Provozování!$BJ$16="Neaktivní",0,Provozování!BJ39)</f>
        <v>0</v>
      </c>
      <c r="AX69" s="129">
        <f>IF(Provozování!$BJ$16="Neaktivní",0,Provozování!BK39)</f>
        <v>0</v>
      </c>
    </row>
    <row r="70" spans="1:50" x14ac:dyDescent="0.25">
      <c r="A70" s="31"/>
      <c r="B70" s="12" t="s">
        <v>39</v>
      </c>
      <c r="C70" s="854" t="s">
        <v>40</v>
      </c>
      <c r="D70" s="854"/>
      <c r="E70" s="854"/>
      <c r="F70" s="3" t="s">
        <v>10</v>
      </c>
      <c r="G70" s="133">
        <f>IF(AND(DAY(Postup!$H$24)=1,MONTH(Postup!$H$24)=1),Provozování!E40,Provozování!G40)</f>
        <v>4.2538762739726024E-2</v>
      </c>
      <c r="H70" s="129">
        <f>IF(AND(DAY(Postup!$H$24)=1,MONTH(Postup!$H$24)=1),Provozování!F40,Provozování!H40)</f>
        <v>0.16890410958904112</v>
      </c>
      <c r="I70" s="133">
        <f>IF(Provozování!$I$16="Neaktivní",0,Provozování!I40)</f>
        <v>0</v>
      </c>
      <c r="J70" s="129">
        <f>IF(Provozování!$I$16="Neaktivní",0,Provozování!J40)</f>
        <v>0</v>
      </c>
      <c r="K70" s="133">
        <f>IF(YEAR(Postup!$H$25)&gt;$K$53,Provozování!O40,IF(AND(DAY(Postup!$H$25)=31,MONTH(Postup!$H$25)=12,YEAR(Postup!$H$25)=$K$53),Provozování!O40,IF(YEAR(Postup!$H$25)=$K$53,Provozování!$BL40,0)))</f>
        <v>5.8933263999999999E-2</v>
      </c>
      <c r="L70" s="129">
        <f>IF(YEAR(Postup!$H$25)&gt;$K$53,Provozování!P40,IF(AND(DAY(Postup!$H$25)=31,MONTH(Postup!$H$25)=12,YEAR(Postup!$H$25)=$K$53),Provozování!P40,IF(YEAR(Postup!$H$25)=$K$53,Provozování!$BM40,0)))</f>
        <v>0.23400000000000001</v>
      </c>
      <c r="M70" s="133">
        <f>IF(Provozování!$Q$16="Neaktivní",0,Provozování!Q40)</f>
        <v>0</v>
      </c>
      <c r="N70" s="129">
        <f>IF(Provozování!$Q$16="Neaktivní",0,Provozování!R40)</f>
        <v>0</v>
      </c>
      <c r="O70" s="133">
        <f>IF(YEAR(Postup!$H$25)&gt;$O$53,Provozování!T40,IF(AND(DAY(Postup!$H$25)=31,MONTH(Postup!$H$25)=12,YEAR(Postup!$H$25)=$O$53),Provozování!T40,IF(YEAR(Postup!$H$25)=$O$53,Provozování!$BL40,0)))</f>
        <v>0</v>
      </c>
      <c r="P70" s="129">
        <f>IF(YEAR(Postup!$H$25)&gt;$O$53,Provozování!U40,IF(AND(DAY(Postup!$H$25)=31,MONTH(Postup!$H$25)=12,YEAR(Postup!$H$25)=$O$53),Provozování!U40,IF(YEAR(Postup!$H$25)=$O$53,Provozování!$BM40,0)))</f>
        <v>0</v>
      </c>
      <c r="Q70" s="133">
        <f>IF(Provozování!$V$16="Neaktivní",0,Provozování!V40)</f>
        <v>0</v>
      </c>
      <c r="R70" s="129">
        <f>IF(Provozování!$V$16="Neaktivní",0,Provozování!W40)</f>
        <v>0</v>
      </c>
      <c r="S70" s="133">
        <f>IF(YEAR(Postup!$H$25)&gt;$S$53,Provozování!Y40,IF(AND(DAY(Postup!$H$25)=31,MONTH(Postup!$H$25)=12,YEAR(Postup!$H$25)=$S$53),Provozování!Y40,IF(YEAR(Postup!$H$25)=$S$53,Provozování!$BL40,0)))</f>
        <v>0</v>
      </c>
      <c r="T70" s="129">
        <f>IF(YEAR(Postup!$H$25)&gt;$S$53,Provozování!Z40,IF(AND(DAY(Postup!$H$25)=31,MONTH(Postup!$H$25)=12,YEAR(Postup!$H$25)=$S$53),Provozování!Z40,IF(YEAR(Postup!$H$25)=$S$53,Provozování!$BM40,0)))</f>
        <v>0</v>
      </c>
      <c r="U70" s="133">
        <f>IF(Provozování!$AA$16="Neaktivní",0,Provozování!AA40)</f>
        <v>0</v>
      </c>
      <c r="V70" s="129">
        <f>IF(Provozování!$AA$16="Neaktivní",0,Provozování!AB40)</f>
        <v>0</v>
      </c>
      <c r="W70" s="133">
        <f>IF(YEAR(Postup!$H$25)&gt;$W$53,Provozování!AD40,IF(AND(DAY(Postup!$H$25)=31,MONTH(Postup!$H$25)=12,YEAR(Postup!$H$25)=$W$53),Provozování!AD40,IF(YEAR(Postup!$H$25)=$W$53,Provozování!$BL40,0)))</f>
        <v>0</v>
      </c>
      <c r="X70" s="129">
        <f>IF(YEAR(Postup!$H$25)&gt;$W$53,Provozování!AE40,IF(AND(DAY(Postup!$H$25)=31,MONTH(Postup!$H$25)=12,YEAR(Postup!$H$25)=$W$53),Provozování!AE40,IF(YEAR(Postup!$H$25)=$W$53,Provozování!$BM40,0)))</f>
        <v>0</v>
      </c>
      <c r="Y70" s="133">
        <f>IF(Provozování!$AF$16="Neaktivní",0,Provozování!AF40)</f>
        <v>0</v>
      </c>
      <c r="Z70" s="129">
        <f>IF(Provozování!$AF$16="Neaktivní",0,Provozování!AG40)</f>
        <v>0</v>
      </c>
      <c r="AA70" s="133">
        <f>IF(YEAR(Postup!$H$25)&gt;$AA$53,Provozování!AI40,IF(AND(DAY(Postup!$H$25)=31,MONTH(Postup!$H$25)=12,YEAR(Postup!$H$25)=$AA$53),Provozování!AI40,IF(YEAR(Postup!$H$25)=$AA$53,Provozování!$BL40,0)))</f>
        <v>0</v>
      </c>
      <c r="AB70" s="129">
        <f>IF(YEAR(Postup!$H$25)&gt;$AA$53,Provozování!AJ40,IF(AND(DAY(Postup!$H$25)=31,MONTH(Postup!$H$25)=12,YEAR(Postup!$H$25)=$AA$53),Provozování!AJ40,IF(YEAR(Postup!$H$25)=$AA$53,Provozování!$BM40,0)))</f>
        <v>0</v>
      </c>
      <c r="AC70" s="133">
        <f>IF(Provozování!$AK$16="Neaktivní",0,Provozování!AK40)</f>
        <v>0</v>
      </c>
      <c r="AD70" s="129">
        <f>IF(Provozování!$AK$16="Neaktivní",0,Provozování!AL40)</f>
        <v>0</v>
      </c>
      <c r="AE70" s="133">
        <f>IF(YEAR(Postup!$H$25)&gt;$AE$53,Provozování!AN40,IF(AND(DAY(Postup!$H$25)=31,MONTH(Postup!$H$25)=12,YEAR(Postup!$H$25)=$AE$53),Provozování!AN40,IF(YEAR(Postup!$H$25)=$AE$53,Provozování!$BL40,0)))</f>
        <v>0</v>
      </c>
      <c r="AF70" s="129">
        <f>IF(YEAR(Postup!$H$25)&gt;$AE$53,Provozování!AO40,IF(AND(DAY(Postup!$H$25)=31,MONTH(Postup!$H$25)=12,YEAR(Postup!$H$25)=$AE$53),Provozování!AO40,IF(YEAR(Postup!$H$25)=$AE$53,Provozování!$BM40,0)))</f>
        <v>0</v>
      </c>
      <c r="AG70" s="133">
        <f>IF(Provozování!$AP$16="Neaktivní",0,Provozování!AP40)</f>
        <v>0</v>
      </c>
      <c r="AH70" s="129">
        <f>IF(Provozování!$AP$16="Neaktivní",0,Provozování!AQ40)</f>
        <v>0</v>
      </c>
      <c r="AI70" s="133">
        <f>IF(YEAR(Postup!$H$25)&gt;$AI$53,Provozování!AS40,IF(AND(DAY(Postup!$H$25)=31,MONTH(Postup!$H$25)=12,YEAR(Postup!$H$25)=$AI$53),Provozování!AS40,IF(YEAR(Postup!$H$25)=$AI$53,Provozování!$BL40,0)))</f>
        <v>0</v>
      </c>
      <c r="AJ70" s="129">
        <f>IF(YEAR(Postup!$H$25)&gt;$AI$53,Provozování!AT40,IF(AND(DAY(Postup!$H$25)=31,MONTH(Postup!$H$25)=12,YEAR(Postup!$H$25)=$AI$53),Provozování!AT40,IF(YEAR(Postup!$H$25)=$AI$53,Provozování!$BM40,0)))</f>
        <v>0</v>
      </c>
      <c r="AK70" s="133">
        <f>IF(Provozování!$AU$16="Neaktivní",0,Provozování!AU40)</f>
        <v>0</v>
      </c>
      <c r="AL70" s="129">
        <f>IF(Provozování!$AU$16="Neaktivní",0,Provozování!AV40)</f>
        <v>0</v>
      </c>
      <c r="AM70" s="133">
        <f>IF(YEAR(Postup!$H$25)&gt;$AM$53,Provozování!AX40,IF(AND(DAY(Postup!$H$25)=31,MONTH(Postup!$H$25)=12,YEAR(Postup!$H$25)=$AM$53),Provozování!AX40,IF(YEAR(Postup!$H$25)=$AM$53,Provozování!$BL40,0)))</f>
        <v>0</v>
      </c>
      <c r="AN70" s="129">
        <f>IF(YEAR(Postup!$H$25)&gt;$AM$53,Provozování!AY40,IF(AND(DAY(Postup!$H$25)=31,MONTH(Postup!$H$25)=12,YEAR(Postup!$H$25)=$AM$53),Provozování!AY40,IF(YEAR(Postup!$H$25)=$AM$53,Provozování!$BM40,0)))</f>
        <v>0</v>
      </c>
      <c r="AO70" s="133">
        <f>IF(Provozování!$AZ$16="Neaktivní",0,Provozování!AZ40)</f>
        <v>0</v>
      </c>
      <c r="AP70" s="129">
        <f>IF(Provozování!$AZ$16="Neaktivní",0,Provozování!BA40)</f>
        <v>0</v>
      </c>
      <c r="AQ70" s="133">
        <f>IF(YEAR(Postup!$H$25)&gt;$AQ$53,Provozování!BC40,IF(AND(DAY(Postup!$H$25)=31,MONTH(Postup!$H$25)=12,YEAR(Postup!$H$25)=$AQ$53),Provozování!BC40,IF(YEAR(Postup!$H$25)=$AQ$53,Provozování!$BL40,0)))</f>
        <v>0</v>
      </c>
      <c r="AR70" s="129">
        <f>IF(YEAR(Postup!$H$25)&gt;$AM$53,Provozování!BD40,IF(AND(DAY(Postup!$H$25)=31,MONTH(Postup!$H$25)=12,YEAR(Postup!$H$25)=$AM$53),Provozování!BD40,IF(YEAR(Postup!$H$25)=$AM$53,Provozování!$BM40,0)))</f>
        <v>0</v>
      </c>
      <c r="AS70" s="133">
        <f>IF(Provozování!$BE$16="Neaktivní",0,Provozování!BE40)</f>
        <v>0</v>
      </c>
      <c r="AT70" s="129">
        <f>IF(Provozování!$BE$16="Neaktivní",0,Provozování!BF40)</f>
        <v>0</v>
      </c>
      <c r="AU70" s="133">
        <f>IF(YEAR(Postup!$H$25)&gt;$AU$53,Provozování!BH40,IF(AND(DAY(Postup!$H$25)=31,MONTH(Postup!$H$25)=12,YEAR(Postup!$H$25)=$AU$53),Provozování!BH40,IF(YEAR(Postup!$H$25)=$AU$53,Provozování!$BL40,0)))</f>
        <v>0</v>
      </c>
      <c r="AV70" s="129">
        <f>IF(YEAR(Postup!$H$25)&gt;$AU$53,Provozování!BI40,IF(AND(DAY(Postup!$H$25)=31,MONTH(Postup!$H$25)=12,YEAR(Postup!$H$25)=$AU$53),Provozování!BI40,IF(YEAR(Postup!$H$25)=$AU$53,Provozování!$BM40,0)))</f>
        <v>0</v>
      </c>
      <c r="AW70" s="133">
        <f>IF(Provozování!$BJ$16="Neaktivní",0,Provozování!BJ40)</f>
        <v>0</v>
      </c>
      <c r="AX70" s="129">
        <f>IF(Provozování!$BJ$16="Neaktivní",0,Provozování!BK40)</f>
        <v>0</v>
      </c>
    </row>
    <row r="71" spans="1:50" x14ac:dyDescent="0.25">
      <c r="A71" s="31"/>
      <c r="B71" s="12" t="s">
        <v>41</v>
      </c>
      <c r="C71" s="854" t="s">
        <v>42</v>
      </c>
      <c r="D71" s="854"/>
      <c r="E71" s="854"/>
      <c r="F71" s="3" t="s">
        <v>10</v>
      </c>
      <c r="G71" s="133">
        <f>IF(AND(DAY(Postup!$H$24)=1,MONTH(Postup!$H$24)=1),Provozování!E41,Provozování!G41)</f>
        <v>9.0082191780821913E-2</v>
      </c>
      <c r="H71" s="129">
        <f>IF(AND(DAY(Postup!$H$24)=1,MONTH(Postup!$H$24)=1),Provozování!F41,Provozování!H41)</f>
        <v>7.5068493150684937E-2</v>
      </c>
      <c r="I71" s="133">
        <f>IF(Provozování!$I$16="Neaktivní",0,Provozování!I41)</f>
        <v>0</v>
      </c>
      <c r="J71" s="129">
        <f>IF(Provozování!$I$16="Neaktivní",0,Provozování!J41)</f>
        <v>0</v>
      </c>
      <c r="K71" s="133">
        <f>IF(YEAR(Postup!$H$25)&gt;$K$53,Provozování!O41,IF(AND(DAY(Postup!$H$25)=31,MONTH(Postup!$H$25)=12,YEAR(Postup!$H$25)=$K$53),Provozování!O41,IF(YEAR(Postup!$H$25)=$K$53,Provozování!$BL41,0)))</f>
        <v>0.12479999999999999</v>
      </c>
      <c r="L71" s="129">
        <f>IF(YEAR(Postup!$H$25)&gt;$K$53,Provozování!P41,IF(AND(DAY(Postup!$H$25)=31,MONTH(Postup!$H$25)=12,YEAR(Postup!$H$25)=$K$53),Provozování!P41,IF(YEAR(Postup!$H$25)=$K$53,Provozování!$BM41,0)))</f>
        <v>0.10400000000000001</v>
      </c>
      <c r="M71" s="133">
        <f>IF(Provozování!$Q$16="Neaktivní",0,Provozování!Q41)</f>
        <v>0</v>
      </c>
      <c r="N71" s="129">
        <f>IF(Provozování!$Q$16="Neaktivní",0,Provozování!R41)</f>
        <v>0</v>
      </c>
      <c r="O71" s="133">
        <f>IF(YEAR(Postup!$H$25)&gt;$O$53,Provozování!T41,IF(AND(DAY(Postup!$H$25)=31,MONTH(Postup!$H$25)=12,YEAR(Postup!$H$25)=$O$53),Provozování!T41,IF(YEAR(Postup!$H$25)=$O$53,Provozování!$BL41,0)))</f>
        <v>0</v>
      </c>
      <c r="P71" s="129">
        <f>IF(YEAR(Postup!$H$25)&gt;$O$53,Provozování!U41,IF(AND(DAY(Postup!$H$25)=31,MONTH(Postup!$H$25)=12,YEAR(Postup!$H$25)=$O$53),Provozování!U41,IF(YEAR(Postup!$H$25)=$O$53,Provozování!$BM41,0)))</f>
        <v>0</v>
      </c>
      <c r="Q71" s="133">
        <f>IF(Provozování!$V$16="Neaktivní",0,Provozování!V41)</f>
        <v>0</v>
      </c>
      <c r="R71" s="129">
        <f>IF(Provozování!$V$16="Neaktivní",0,Provozování!W41)</f>
        <v>0</v>
      </c>
      <c r="S71" s="133">
        <f>IF(YEAR(Postup!$H$25)&gt;$S$53,Provozování!Y41,IF(AND(DAY(Postup!$H$25)=31,MONTH(Postup!$H$25)=12,YEAR(Postup!$H$25)=$S$53),Provozování!Y41,IF(YEAR(Postup!$H$25)=$S$53,Provozování!$BL41,0)))</f>
        <v>0</v>
      </c>
      <c r="T71" s="129">
        <f>IF(YEAR(Postup!$H$25)&gt;$S$53,Provozování!Z41,IF(AND(DAY(Postup!$H$25)=31,MONTH(Postup!$H$25)=12,YEAR(Postup!$H$25)=$S$53),Provozování!Z41,IF(YEAR(Postup!$H$25)=$S$53,Provozování!$BM41,0)))</f>
        <v>0</v>
      </c>
      <c r="U71" s="133">
        <f>IF(Provozování!$AA$16="Neaktivní",0,Provozování!AA41)</f>
        <v>0</v>
      </c>
      <c r="V71" s="129">
        <f>IF(Provozování!$AA$16="Neaktivní",0,Provozování!AB41)</f>
        <v>0</v>
      </c>
      <c r="W71" s="133">
        <f>IF(YEAR(Postup!$H$25)&gt;$W$53,Provozování!AD41,IF(AND(DAY(Postup!$H$25)=31,MONTH(Postup!$H$25)=12,YEAR(Postup!$H$25)=$W$53),Provozování!AD41,IF(YEAR(Postup!$H$25)=$W$53,Provozování!$BL41,0)))</f>
        <v>0</v>
      </c>
      <c r="X71" s="129">
        <f>IF(YEAR(Postup!$H$25)&gt;$W$53,Provozování!AE41,IF(AND(DAY(Postup!$H$25)=31,MONTH(Postup!$H$25)=12,YEAR(Postup!$H$25)=$W$53),Provozování!AE41,IF(YEAR(Postup!$H$25)=$W$53,Provozování!$BM41,0)))</f>
        <v>0</v>
      </c>
      <c r="Y71" s="133">
        <f>IF(Provozování!$AF$16="Neaktivní",0,Provozování!AF41)</f>
        <v>0</v>
      </c>
      <c r="Z71" s="129">
        <f>IF(Provozování!$AF$16="Neaktivní",0,Provozování!AG41)</f>
        <v>0</v>
      </c>
      <c r="AA71" s="133">
        <f>IF(YEAR(Postup!$H$25)&gt;$AA$53,Provozování!AI41,IF(AND(DAY(Postup!$H$25)=31,MONTH(Postup!$H$25)=12,YEAR(Postup!$H$25)=$AA$53),Provozování!AI41,IF(YEAR(Postup!$H$25)=$AA$53,Provozování!$BL41,0)))</f>
        <v>0</v>
      </c>
      <c r="AB71" s="129">
        <f>IF(YEAR(Postup!$H$25)&gt;$AA$53,Provozování!AJ41,IF(AND(DAY(Postup!$H$25)=31,MONTH(Postup!$H$25)=12,YEAR(Postup!$H$25)=$AA$53),Provozování!AJ41,IF(YEAR(Postup!$H$25)=$AA$53,Provozování!$BM41,0)))</f>
        <v>0</v>
      </c>
      <c r="AC71" s="133">
        <f>IF(Provozování!$AK$16="Neaktivní",0,Provozování!AK41)</f>
        <v>0</v>
      </c>
      <c r="AD71" s="129">
        <f>IF(Provozování!$AK$16="Neaktivní",0,Provozování!AL41)</f>
        <v>0</v>
      </c>
      <c r="AE71" s="133">
        <f>IF(YEAR(Postup!$H$25)&gt;$AE$53,Provozování!AN41,IF(AND(DAY(Postup!$H$25)=31,MONTH(Postup!$H$25)=12,YEAR(Postup!$H$25)=$AE$53),Provozování!AN41,IF(YEAR(Postup!$H$25)=$AE$53,Provozování!$BL41,0)))</f>
        <v>0</v>
      </c>
      <c r="AF71" s="129">
        <f>IF(YEAR(Postup!$H$25)&gt;$AE$53,Provozování!AO41,IF(AND(DAY(Postup!$H$25)=31,MONTH(Postup!$H$25)=12,YEAR(Postup!$H$25)=$AE$53),Provozování!AO41,IF(YEAR(Postup!$H$25)=$AE$53,Provozování!$BM41,0)))</f>
        <v>0</v>
      </c>
      <c r="AG71" s="133">
        <f>IF(Provozování!$AP$16="Neaktivní",0,Provozování!AP41)</f>
        <v>0</v>
      </c>
      <c r="AH71" s="129">
        <f>IF(Provozování!$AP$16="Neaktivní",0,Provozování!AQ41)</f>
        <v>0</v>
      </c>
      <c r="AI71" s="133">
        <f>IF(YEAR(Postup!$H$25)&gt;$AI$53,Provozování!AS41,IF(AND(DAY(Postup!$H$25)=31,MONTH(Postup!$H$25)=12,YEAR(Postup!$H$25)=$AI$53),Provozování!AS41,IF(YEAR(Postup!$H$25)=$AI$53,Provozování!$BL41,0)))</f>
        <v>0</v>
      </c>
      <c r="AJ71" s="129">
        <f>IF(YEAR(Postup!$H$25)&gt;$AI$53,Provozování!AT41,IF(AND(DAY(Postup!$H$25)=31,MONTH(Postup!$H$25)=12,YEAR(Postup!$H$25)=$AI$53),Provozování!AT41,IF(YEAR(Postup!$H$25)=$AI$53,Provozování!$BM41,0)))</f>
        <v>0</v>
      </c>
      <c r="AK71" s="133">
        <f>IF(Provozování!$AU$16="Neaktivní",0,Provozování!AU41)</f>
        <v>0</v>
      </c>
      <c r="AL71" s="129">
        <f>IF(Provozování!$AU$16="Neaktivní",0,Provozování!AV41)</f>
        <v>0</v>
      </c>
      <c r="AM71" s="133">
        <f>IF(YEAR(Postup!$H$25)&gt;$AM$53,Provozování!AX41,IF(AND(DAY(Postup!$H$25)=31,MONTH(Postup!$H$25)=12,YEAR(Postup!$H$25)=$AM$53),Provozování!AX41,IF(YEAR(Postup!$H$25)=$AM$53,Provozování!$BL41,0)))</f>
        <v>0</v>
      </c>
      <c r="AN71" s="129">
        <f>IF(YEAR(Postup!$H$25)&gt;$AM$53,Provozování!AY41,IF(AND(DAY(Postup!$H$25)=31,MONTH(Postup!$H$25)=12,YEAR(Postup!$H$25)=$AM$53),Provozování!AY41,IF(YEAR(Postup!$H$25)=$AM$53,Provozování!$BM41,0)))</f>
        <v>0</v>
      </c>
      <c r="AO71" s="133">
        <f>IF(Provozování!$AZ$16="Neaktivní",0,Provozování!AZ41)</f>
        <v>0</v>
      </c>
      <c r="AP71" s="129">
        <f>IF(Provozování!$AZ$16="Neaktivní",0,Provozování!BA41)</f>
        <v>0</v>
      </c>
      <c r="AQ71" s="133">
        <f>IF(YEAR(Postup!$H$25)&gt;$AQ$53,Provozování!BC41,IF(AND(DAY(Postup!$H$25)=31,MONTH(Postup!$H$25)=12,YEAR(Postup!$H$25)=$AQ$53),Provozování!BC41,IF(YEAR(Postup!$H$25)=$AQ$53,Provozování!$BL41,0)))</f>
        <v>0</v>
      </c>
      <c r="AR71" s="129">
        <f>IF(YEAR(Postup!$H$25)&gt;$AM$53,Provozování!BD41,IF(AND(DAY(Postup!$H$25)=31,MONTH(Postup!$H$25)=12,YEAR(Postup!$H$25)=$AM$53),Provozování!BD41,IF(YEAR(Postup!$H$25)=$AM$53,Provozování!$BM41,0)))</f>
        <v>0</v>
      </c>
      <c r="AS71" s="133">
        <f>IF(Provozování!$BE$16="Neaktivní",0,Provozování!BE41)</f>
        <v>0</v>
      </c>
      <c r="AT71" s="129">
        <f>IF(Provozování!$BE$16="Neaktivní",0,Provozování!BF41)</f>
        <v>0</v>
      </c>
      <c r="AU71" s="133">
        <f>IF(YEAR(Postup!$H$25)&gt;$AU$53,Provozování!BH41,IF(AND(DAY(Postup!$H$25)=31,MONTH(Postup!$H$25)=12,YEAR(Postup!$H$25)=$AU$53),Provozování!BH41,IF(YEAR(Postup!$H$25)=$AU$53,Provozování!$BL41,0)))</f>
        <v>0</v>
      </c>
      <c r="AV71" s="129">
        <f>IF(YEAR(Postup!$H$25)&gt;$AU$53,Provozování!BI41,IF(AND(DAY(Postup!$H$25)=31,MONTH(Postup!$H$25)=12,YEAR(Postup!$H$25)=$AU$53),Provozování!BI41,IF(YEAR(Postup!$H$25)=$AU$53,Provozování!$BM41,0)))</f>
        <v>0</v>
      </c>
      <c r="AW71" s="133">
        <f>IF(Provozování!$BJ$16="Neaktivní",0,Provozování!BJ41)</f>
        <v>0</v>
      </c>
      <c r="AX71" s="129">
        <f>IF(Provozování!$BJ$16="Neaktivní",0,Provozování!BK41)</f>
        <v>0</v>
      </c>
    </row>
    <row r="72" spans="1:50" x14ac:dyDescent="0.25">
      <c r="A72" s="31"/>
      <c r="B72" s="12" t="s">
        <v>43</v>
      </c>
      <c r="C72" s="854" t="s">
        <v>44</v>
      </c>
      <c r="D72" s="854"/>
      <c r="E72" s="854"/>
      <c r="F72" s="3" t="s">
        <v>10</v>
      </c>
      <c r="G72" s="133">
        <f>IF(AND(DAY(Postup!$H$24)=1,MONTH(Postup!$H$24)=1),Provozování!E42,Provozování!G42)</f>
        <v>0</v>
      </c>
      <c r="H72" s="129">
        <f>IF(AND(DAY(Postup!$H$24)=1,MONTH(Postup!$H$24)=1),Provozování!F42,Provozování!H42)</f>
        <v>0</v>
      </c>
      <c r="I72" s="133">
        <f>IF(Provozování!$I$16="Neaktivní",0,Provozování!I42)</f>
        <v>0</v>
      </c>
      <c r="J72" s="129">
        <f>IF(Provozování!$I$16="Neaktivní",0,Provozování!J42)</f>
        <v>0</v>
      </c>
      <c r="K72" s="133">
        <f>IF(YEAR(Postup!$H$25)&gt;$K$53,Provozování!O42,IF(AND(DAY(Postup!$H$25)=31,MONTH(Postup!$H$25)=12,YEAR(Postup!$H$25)=$K$53),Provozování!O42,IF(YEAR(Postup!$H$25)=$K$53,Provozování!$BL42,0)))</f>
        <v>0</v>
      </c>
      <c r="L72" s="129">
        <f>IF(YEAR(Postup!$H$25)&gt;$K$53,Provozování!P42,IF(AND(DAY(Postup!$H$25)=31,MONTH(Postup!$H$25)=12,YEAR(Postup!$H$25)=$K$53),Provozování!P42,IF(YEAR(Postup!$H$25)=$K$53,Provozování!$BM42,0)))</f>
        <v>0</v>
      </c>
      <c r="M72" s="133">
        <f>IF(Provozování!$Q$16="Neaktivní",0,Provozování!Q42)</f>
        <v>0</v>
      </c>
      <c r="N72" s="129">
        <f>IF(Provozování!$Q$16="Neaktivní",0,Provozování!R42)</f>
        <v>0</v>
      </c>
      <c r="O72" s="133">
        <f>IF(YEAR(Postup!$H$25)&gt;$O$53,Provozování!T42,IF(AND(DAY(Postup!$H$25)=31,MONTH(Postup!$H$25)=12,YEAR(Postup!$H$25)=$O$53),Provozování!T42,IF(YEAR(Postup!$H$25)=$O$53,Provozování!$BL42,0)))</f>
        <v>0</v>
      </c>
      <c r="P72" s="129">
        <f>IF(YEAR(Postup!$H$25)&gt;$O$53,Provozování!U42,IF(AND(DAY(Postup!$H$25)=31,MONTH(Postup!$H$25)=12,YEAR(Postup!$H$25)=$O$53),Provozování!U42,IF(YEAR(Postup!$H$25)=$O$53,Provozování!$BM42,0)))</f>
        <v>0</v>
      </c>
      <c r="Q72" s="133">
        <f>IF(Provozování!$V$16="Neaktivní",0,Provozování!V42)</f>
        <v>0</v>
      </c>
      <c r="R72" s="129">
        <f>IF(Provozování!$V$16="Neaktivní",0,Provozování!W42)</f>
        <v>0</v>
      </c>
      <c r="S72" s="133">
        <f>IF(YEAR(Postup!$H$25)&gt;$S$53,Provozování!Y42,IF(AND(DAY(Postup!$H$25)=31,MONTH(Postup!$H$25)=12,YEAR(Postup!$H$25)=$S$53),Provozování!Y42,IF(YEAR(Postup!$H$25)=$S$53,Provozování!$BL42,0)))</f>
        <v>0</v>
      </c>
      <c r="T72" s="129">
        <f>IF(YEAR(Postup!$H$25)&gt;$S$53,Provozování!Z42,IF(AND(DAY(Postup!$H$25)=31,MONTH(Postup!$H$25)=12,YEAR(Postup!$H$25)=$S$53),Provozování!Z42,IF(YEAR(Postup!$H$25)=$S$53,Provozování!$BM42,0)))</f>
        <v>0</v>
      </c>
      <c r="U72" s="133">
        <f>IF(Provozování!$AA$16="Neaktivní",0,Provozování!AA42)</f>
        <v>0</v>
      </c>
      <c r="V72" s="129">
        <f>IF(Provozování!$AA$16="Neaktivní",0,Provozování!AB42)</f>
        <v>0</v>
      </c>
      <c r="W72" s="133">
        <f>IF(YEAR(Postup!$H$25)&gt;$W$53,Provozování!AD42,IF(AND(DAY(Postup!$H$25)=31,MONTH(Postup!$H$25)=12,YEAR(Postup!$H$25)=$W$53),Provozování!AD42,IF(YEAR(Postup!$H$25)=$W$53,Provozování!$BL42,0)))</f>
        <v>0</v>
      </c>
      <c r="X72" s="129">
        <f>IF(YEAR(Postup!$H$25)&gt;$W$53,Provozování!AE42,IF(AND(DAY(Postup!$H$25)=31,MONTH(Postup!$H$25)=12,YEAR(Postup!$H$25)=$W$53),Provozování!AE42,IF(YEAR(Postup!$H$25)=$W$53,Provozování!$BM42,0)))</f>
        <v>0</v>
      </c>
      <c r="Y72" s="133">
        <f>IF(Provozování!$AF$16="Neaktivní",0,Provozování!AF42)</f>
        <v>0</v>
      </c>
      <c r="Z72" s="129">
        <f>IF(Provozování!$AF$16="Neaktivní",0,Provozování!AG42)</f>
        <v>0</v>
      </c>
      <c r="AA72" s="133">
        <f>IF(YEAR(Postup!$H$25)&gt;$AA$53,Provozování!AI42,IF(AND(DAY(Postup!$H$25)=31,MONTH(Postup!$H$25)=12,YEAR(Postup!$H$25)=$AA$53),Provozování!AI42,IF(YEAR(Postup!$H$25)=$AA$53,Provozování!$BL42,0)))</f>
        <v>0</v>
      </c>
      <c r="AB72" s="129">
        <f>IF(YEAR(Postup!$H$25)&gt;$AA$53,Provozování!AJ42,IF(AND(DAY(Postup!$H$25)=31,MONTH(Postup!$H$25)=12,YEAR(Postup!$H$25)=$AA$53),Provozování!AJ42,IF(YEAR(Postup!$H$25)=$AA$53,Provozování!$BM42,0)))</f>
        <v>0</v>
      </c>
      <c r="AC72" s="133">
        <f>IF(Provozování!$AK$16="Neaktivní",0,Provozování!AK42)</f>
        <v>0</v>
      </c>
      <c r="AD72" s="129">
        <f>IF(Provozování!$AK$16="Neaktivní",0,Provozování!AL42)</f>
        <v>0</v>
      </c>
      <c r="AE72" s="133">
        <f>IF(YEAR(Postup!$H$25)&gt;$AE$53,Provozování!AN42,IF(AND(DAY(Postup!$H$25)=31,MONTH(Postup!$H$25)=12,YEAR(Postup!$H$25)=$AE$53),Provozování!AN42,IF(YEAR(Postup!$H$25)=$AE$53,Provozování!$BL42,0)))</f>
        <v>0</v>
      </c>
      <c r="AF72" s="129">
        <f>IF(YEAR(Postup!$H$25)&gt;$AE$53,Provozování!AO42,IF(AND(DAY(Postup!$H$25)=31,MONTH(Postup!$H$25)=12,YEAR(Postup!$H$25)=$AE$53),Provozování!AO42,IF(YEAR(Postup!$H$25)=$AE$53,Provozování!$BM42,0)))</f>
        <v>0</v>
      </c>
      <c r="AG72" s="133">
        <f>IF(Provozování!$AP$16="Neaktivní",0,Provozování!AP42)</f>
        <v>0</v>
      </c>
      <c r="AH72" s="129">
        <f>IF(Provozování!$AP$16="Neaktivní",0,Provozování!AQ42)</f>
        <v>0</v>
      </c>
      <c r="AI72" s="133">
        <f>IF(YEAR(Postup!$H$25)&gt;$AI$53,Provozování!AS42,IF(AND(DAY(Postup!$H$25)=31,MONTH(Postup!$H$25)=12,YEAR(Postup!$H$25)=$AI$53),Provozování!AS42,IF(YEAR(Postup!$H$25)=$AI$53,Provozování!$BL42,0)))</f>
        <v>0</v>
      </c>
      <c r="AJ72" s="129">
        <f>IF(YEAR(Postup!$H$25)&gt;$AI$53,Provozování!AT42,IF(AND(DAY(Postup!$H$25)=31,MONTH(Postup!$H$25)=12,YEAR(Postup!$H$25)=$AI$53),Provozování!AT42,IF(YEAR(Postup!$H$25)=$AI$53,Provozování!$BM42,0)))</f>
        <v>0</v>
      </c>
      <c r="AK72" s="133">
        <f>IF(Provozování!$AU$16="Neaktivní",0,Provozování!AU42)</f>
        <v>0</v>
      </c>
      <c r="AL72" s="129">
        <f>IF(Provozování!$AU$16="Neaktivní",0,Provozování!AV42)</f>
        <v>0</v>
      </c>
      <c r="AM72" s="133">
        <f>IF(YEAR(Postup!$H$25)&gt;$AM$53,Provozování!AX42,IF(AND(DAY(Postup!$H$25)=31,MONTH(Postup!$H$25)=12,YEAR(Postup!$H$25)=$AM$53),Provozování!AX42,IF(YEAR(Postup!$H$25)=$AM$53,Provozování!$BL42,0)))</f>
        <v>0</v>
      </c>
      <c r="AN72" s="129">
        <f>IF(YEAR(Postup!$H$25)&gt;$AM$53,Provozování!AY42,IF(AND(DAY(Postup!$H$25)=31,MONTH(Postup!$H$25)=12,YEAR(Postup!$H$25)=$AM$53),Provozování!AY42,IF(YEAR(Postup!$H$25)=$AM$53,Provozování!$BM42,0)))</f>
        <v>0</v>
      </c>
      <c r="AO72" s="133">
        <f>IF(Provozování!$AZ$16="Neaktivní",0,Provozování!AZ42)</f>
        <v>0</v>
      </c>
      <c r="AP72" s="129">
        <f>IF(Provozování!$AZ$16="Neaktivní",0,Provozování!BA42)</f>
        <v>0</v>
      </c>
      <c r="AQ72" s="133">
        <f>IF(YEAR(Postup!$H$25)&gt;$AQ$53,Provozování!BC42,IF(AND(DAY(Postup!$H$25)=31,MONTH(Postup!$H$25)=12,YEAR(Postup!$H$25)=$AQ$53),Provozování!BC42,IF(YEAR(Postup!$H$25)=$AQ$53,Provozování!$BL42,0)))</f>
        <v>0</v>
      </c>
      <c r="AR72" s="129">
        <f>IF(YEAR(Postup!$H$25)&gt;$AM$53,Provozování!BD42,IF(AND(DAY(Postup!$H$25)=31,MONTH(Postup!$H$25)=12,YEAR(Postup!$H$25)=$AM$53),Provozování!BD42,IF(YEAR(Postup!$H$25)=$AM$53,Provozování!$BM42,0)))</f>
        <v>0</v>
      </c>
      <c r="AS72" s="133">
        <f>IF(Provozování!$BE$16="Neaktivní",0,Provozování!BE42)</f>
        <v>0</v>
      </c>
      <c r="AT72" s="129">
        <f>IF(Provozování!$BE$16="Neaktivní",0,Provozování!BF42)</f>
        <v>0</v>
      </c>
      <c r="AU72" s="133">
        <f>IF(YEAR(Postup!$H$25)&gt;$AU$53,Provozování!BH42,IF(AND(DAY(Postup!$H$25)=31,MONTH(Postup!$H$25)=12,YEAR(Postup!$H$25)=$AU$53),Provozování!BH42,IF(YEAR(Postup!$H$25)=$AU$53,Provozování!$BL42,0)))</f>
        <v>0</v>
      </c>
      <c r="AV72" s="129">
        <f>IF(YEAR(Postup!$H$25)&gt;$AU$53,Provozování!BI42,IF(AND(DAY(Postup!$H$25)=31,MONTH(Postup!$H$25)=12,YEAR(Postup!$H$25)=$AU$53),Provozování!BI42,IF(YEAR(Postup!$H$25)=$AU$53,Provozování!$BM42,0)))</f>
        <v>0</v>
      </c>
      <c r="AW72" s="133">
        <f>IF(Provozování!$BJ$16="Neaktivní",0,Provozování!BJ42)</f>
        <v>0</v>
      </c>
      <c r="AX72" s="129">
        <f>IF(Provozování!$BJ$16="Neaktivní",0,Provozování!BK42)</f>
        <v>0</v>
      </c>
    </row>
    <row r="73" spans="1:50" x14ac:dyDescent="0.25">
      <c r="A73" s="31"/>
      <c r="B73" s="12" t="s">
        <v>45</v>
      </c>
      <c r="C73" s="854" t="s">
        <v>388</v>
      </c>
      <c r="D73" s="854"/>
      <c r="E73" s="854"/>
      <c r="F73" s="3" t="s">
        <v>10</v>
      </c>
      <c r="G73" s="133">
        <f>IF(AND(DAY(Postup!$H$24)=1,MONTH(Postup!$H$24)=1),Provozování!E43-Provozování!E$102,Provozování!G43-Provozování!E$102)</f>
        <v>0</v>
      </c>
      <c r="H73" s="129">
        <f>IF(AND(DAY(Postup!$H$24)=1,MONTH(Postup!$H$24)=1),Provozování!F43-Provozování!F$102,Provozování!H43-Provozování!F$102)</f>
        <v>0</v>
      </c>
      <c r="I73" s="133">
        <f>IF(Provozování!$I$16="Neaktivní",0,Provozování!I43-Provozování!E$102*H45)</f>
        <v>0</v>
      </c>
      <c r="J73" s="129">
        <f>IF(Provozování!$I$16="Neaktivní",0,Provozování!J43-Provozování!F$102*H45)</f>
        <v>0</v>
      </c>
      <c r="K73" s="133">
        <f>IF(YEAR(Postup!$H$25)&gt;$K$53,Provozování!O43-Provozování!O102,IF(AND(DAY(Postup!$H$25)=31,MONTH(Postup!$H$25)=12,YEAR(Postup!$H$25)=$K$53),Provozování!O43-Provozování!O102,IF(YEAR(Postup!$H$25)=$K$53,Provozování!$BL43-Provozování!O102,0)))</f>
        <v>0</v>
      </c>
      <c r="L73" s="129">
        <f>IF(YEAR(Postup!$H$25)&gt;$K$53,Provozování!P43-Provozování!P102,IF(AND(DAY(Postup!$H$25)=31,MONTH(Postup!$H$25)=12,YEAR(Postup!$H$25)=$K$53),Provozování!P43-Provozování!P102,IF(YEAR(Postup!$H$25)=$K$53,Provozování!$BM43-Provozování!P102,0)))</f>
        <v>0</v>
      </c>
      <c r="M73" s="133">
        <f>IF(Provozování!$Q$16="Neaktivní",0,Provozování!Q43-Provozování!O102*I45)</f>
        <v>0</v>
      </c>
      <c r="N73" s="129">
        <f>IF(Provozování!$Q$16="Neaktivní",0,Provozování!R43-Provozování!P102*I45)</f>
        <v>0</v>
      </c>
      <c r="O73" s="133">
        <f>IF(YEAR(Postup!$H$25)&gt;$O$53,Provozování!T43-Provozování!T102,IF(AND(DAY(Postup!$H$25)=31,MONTH(Postup!$H$25)=12,YEAR(Postup!$H$25)=$O$53),Provozování!T43-Provozování!T102,IF(YEAR(Postup!$H$25)=$O$53,Provozování!$BL43-Provozování!T102,0)))</f>
        <v>0</v>
      </c>
      <c r="P73" s="129">
        <f>IF(YEAR(Postup!$H$25)&gt;$O$53,Provozování!U43-Provozování!U102,IF(AND(DAY(Postup!$H$25)=31,MONTH(Postup!$H$25)=12,YEAR(Postup!$H$25)=$O$53),Provozování!U43-Provozování!U102,IF(YEAR(Postup!$H$25)=$O$53,Provozování!$BM43-Provozování!U102,0)))</f>
        <v>0</v>
      </c>
      <c r="Q73" s="133">
        <f>IF(Provozování!$V$16="Neaktivní",0,Provozování!V43-Provozování!T102*J45)</f>
        <v>0</v>
      </c>
      <c r="R73" s="129">
        <f>IF(Provozování!$V$16="Neaktivní",0,Provozování!W43-Provozování!U102*J45)</f>
        <v>0</v>
      </c>
      <c r="S73" s="133">
        <f>IF(YEAR(Postup!$H$25)&gt;$S$53,Provozování!Y43-Provozování!Y102,IF(AND(DAY(Postup!$H$25)=31,MONTH(Postup!$H$25)=12,YEAR(Postup!$H$25)=$S$53),Provozování!Y43-Provozování!Y102,IF(YEAR(Postup!$H$25)=$S$53,Provozování!$BL43-Provozování!Y102,0)))</f>
        <v>0</v>
      </c>
      <c r="T73" s="129">
        <f>IF(YEAR(Postup!$H$25)&gt;$S$53,Provozování!Z43-Provozování!Z102,IF(AND(DAY(Postup!$H$25)=31,MONTH(Postup!$H$25)=12,YEAR(Postup!$H$25)=$S$53),Provozování!Z43-Provozování!Z102,IF(YEAR(Postup!$H$25)=$S$53,Provozování!$BM43-Provozování!Z102,0)))</f>
        <v>0</v>
      </c>
      <c r="U73" s="133">
        <f>IF(Provozování!$AA$16="Neaktivní",0,Provozování!AA43-Provozování!Y102*K45)</f>
        <v>0</v>
      </c>
      <c r="V73" s="129">
        <f>IF(Provozování!$AA$16="Neaktivní",0,Provozování!AB43-Provozování!Z102*K45)</f>
        <v>0</v>
      </c>
      <c r="W73" s="133">
        <f>IF(YEAR(Postup!$H$25)&gt;$W$53,Provozování!AD43-Provozování!AD102,IF(AND(DAY(Postup!$H$25)=31,MONTH(Postup!$H$25)=12,YEAR(Postup!$H$25)=$W$53),Provozování!AD43-Provozování!AD102,IF(YEAR(Postup!$H$25)=$W$53,Provozování!$BL43-Provozování!AD102,0)))</f>
        <v>0</v>
      </c>
      <c r="X73" s="129">
        <f>IF(YEAR(Postup!$H$25)&gt;$W$53,Provozování!AE43-Provozování!AE102,IF(AND(DAY(Postup!$H$25)=31,MONTH(Postup!$H$25)=12,YEAR(Postup!$H$25)=$W$53),Provozování!AE43-Provozování!AE102,IF(YEAR(Postup!$H$25)=$W$53,Provozování!$BM43-Provozování!AE102,0)))</f>
        <v>0</v>
      </c>
      <c r="Y73" s="133">
        <f>IF(Provozování!$AF$16="Neaktivní",0,Provozování!AF43-Provozování!AD102*L45)</f>
        <v>0</v>
      </c>
      <c r="Z73" s="129">
        <f>IF(Provozování!$AF$16="Neaktivní",0,Provozování!AG43-Provozování!AE102*L45)</f>
        <v>0</v>
      </c>
      <c r="AA73" s="133">
        <f>IF(YEAR(Postup!$H$25)&gt;$AA$53,Provozování!AI43-Provozování!AI102,IF(AND(DAY(Postup!$H$25)=31,MONTH(Postup!$H$25)=12,YEAR(Postup!$H$25)=$AA$53),Provozování!AI43-Provozování!AI102,IF(YEAR(Postup!$H$25)=$AA$53,Provozování!$BL43-Provozování!AI102,0)))</f>
        <v>0</v>
      </c>
      <c r="AB73" s="129">
        <f>IF(YEAR(Postup!$H$25)&gt;$AA$53,Provozování!AJ43-Provozování!AJ102,IF(AND(DAY(Postup!$H$25)=31,MONTH(Postup!$H$25)=12,YEAR(Postup!$H$25)=$AA$53),Provozování!AJ43-Provozování!AJ102,IF(YEAR(Postup!$H$25)=$AA$53,Provozování!$BM43-Provozování!AJ102,0)))</f>
        <v>0</v>
      </c>
      <c r="AC73" s="133">
        <f>IF(Provozování!$AK$16="Neaktivní",0,Provozování!AK43-Provozování!AI102*M45)</f>
        <v>0</v>
      </c>
      <c r="AD73" s="129">
        <f>IF(Provozování!$AK$16="Neaktivní",0,Provozování!AL43-Provozování!AJ102*M45)</f>
        <v>0</v>
      </c>
      <c r="AE73" s="133">
        <f>IF(YEAR(Postup!$H$25)&gt;$AE$53,Provozování!AN43-Provozování!AN102,IF(AND(DAY(Postup!$H$25)=31,MONTH(Postup!$H$25)=12,YEAR(Postup!$H$25)=$AE$53),Provozování!AN43-Provozování!AN102,IF(YEAR(Postup!$H$25)=$AE$53,Provozování!$BL43-Provozování!AN102,0)))</f>
        <v>0</v>
      </c>
      <c r="AF73" s="129">
        <f>IF(YEAR(Postup!$H$25)&gt;$AE$53,Provozování!AO43-Provozování!AO102,IF(AND(DAY(Postup!$H$25)=31,MONTH(Postup!$H$25)=12,YEAR(Postup!$H$25)=$AE$53),Provozování!AO43-Provozování!AO102,IF(YEAR(Postup!$H$25)=$AE$53,Provozování!$BM43-Provozování!AO102,0)))</f>
        <v>0</v>
      </c>
      <c r="AG73" s="133">
        <f>IF(Provozování!$AP$16="Neaktivní",0,Provozování!AP43-Provozování!AN102*N45)</f>
        <v>0</v>
      </c>
      <c r="AH73" s="129">
        <f>IF(Provozování!$AP$16="Neaktivní",0,Provozování!AQ43-Provozování!AO102*N45)</f>
        <v>0</v>
      </c>
      <c r="AI73" s="133">
        <f>IF(YEAR(Postup!$H$25)&gt;$AI$53,Provozování!AS43-Provozování!AS102,IF(AND(DAY(Postup!$H$25)=31,MONTH(Postup!$H$25)=12,YEAR(Postup!$H$25)=$AI$53),Provozování!AS43-Provozování!AS102,IF(YEAR(Postup!$H$25)=$AI$53,Provozování!$BL43-Provozování!AS102,0)))</f>
        <v>0</v>
      </c>
      <c r="AJ73" s="129">
        <f>IF(YEAR(Postup!$H$25)&gt;$AI$53,Provozování!AT43-Provozování!AT102,IF(AND(DAY(Postup!$H$25)=31,MONTH(Postup!$H$25)=12,YEAR(Postup!$H$25)=$AI$53),Provozování!AT43-Provozování!AT102,IF(YEAR(Postup!$H$25)=$AI$53,Provozování!$BM43-Provozování!AT102,0)))</f>
        <v>0</v>
      </c>
      <c r="AK73" s="133">
        <f>IF(Provozování!$AU$16="Neaktivní",0,Provozování!AU43-Provozování!AS102*O45)</f>
        <v>0</v>
      </c>
      <c r="AL73" s="129">
        <f>IF(Provozování!$AU$16="Neaktivní",0,Provozování!AV43-Provozování!AT102*O45)</f>
        <v>0</v>
      </c>
      <c r="AM73" s="133">
        <f>IF(YEAR(Postup!$H$25)&gt;$AM$53,Provozování!AX43-Provozování!AX102,IF(AND(DAY(Postup!$H$25)=31,MONTH(Postup!$H$25)=12,YEAR(Postup!$H$25)=$AM$53),Provozování!AX43-Provozování!AX102,IF(YEAR(Postup!$H$25)=$AM$53,Provozování!$BL43-Provozování!AX102,0)))</f>
        <v>0</v>
      </c>
      <c r="AN73" s="129">
        <f>IF(YEAR(Postup!$H$25)&gt;$AM$53,Provozování!AY43-Provozování!AY102,IF(AND(DAY(Postup!$H$25)=31,MONTH(Postup!$H$25)=12,YEAR(Postup!$H$25)=$AM$53),Provozování!AY43-Provozování!AY102,IF(YEAR(Postup!$H$25)=$AM$53,Provozování!$BM43-Provozování!AY102,0)))</f>
        <v>0</v>
      </c>
      <c r="AO73" s="133">
        <f>IF(Provozování!$AZ$16="Neaktivní",0,Provozování!AZ43-Provozování!AX102*P45)</f>
        <v>0</v>
      </c>
      <c r="AP73" s="129">
        <f>IF(Provozování!$AZ$16="Neaktivní",0,Provozování!BA43-Provozování!AY102*P45)</f>
        <v>0</v>
      </c>
      <c r="AQ73" s="133">
        <f>IF(YEAR(Postup!$H$25)&gt;$AQ$53,Provozování!BC43-Provozování!BC102,IF(AND(DAY(Postup!$H$25)=31,MONTH(Postup!$H$25)=12,YEAR(Postup!$H$25)=$AQ$53),Provozování!BC43-Provozování!BC102,IF(YEAR(Postup!$H$25)=$AQ$53,Provozování!$BL43-Provozování!BC102,0)))</f>
        <v>0</v>
      </c>
      <c r="AR73" s="129">
        <f>IF(YEAR(Postup!$H$25)&gt;$AM$53,Provozování!BD43-Provozování!BD102,IF(AND(DAY(Postup!$H$25)=31,MONTH(Postup!$H$25)=12,YEAR(Postup!$H$25)=$AM$53),Provozování!BD43-Provozování!BD102,IF(YEAR(Postup!$H$25)=$AM$53,Provozování!$BM43-Provozování!BD102,0)))</f>
        <v>0</v>
      </c>
      <c r="AS73" s="133">
        <f>IF(Provozování!$BE$16="Neaktivní",0,Provozování!BE43-Provozování!BC102*Q45)</f>
        <v>0</v>
      </c>
      <c r="AT73" s="129">
        <f>IF(Provozování!$BE$16="Neaktivní",0,Provozování!BF43-Provozování!BD102*Q45)</f>
        <v>0</v>
      </c>
      <c r="AU73" s="133">
        <f>IF(YEAR(Postup!$H$25)&gt;$AU$53,Provozování!BH43-Provozování!BH102,IF(AND(DAY(Postup!$H$25)=31,MONTH(Postup!$H$25)=12,YEAR(Postup!$H$25)=$AU$53),Provozování!BH43-Provozování!BH102,IF(YEAR(Postup!$H$25)=$AU$53,Provozování!$BL43-Provozování!BH102,0)))</f>
        <v>0</v>
      </c>
      <c r="AV73" s="129">
        <f>IF(YEAR(Postup!$H$25)&gt;$AU$53,Provozování!BI43-Provozování!BI102,IF(AND(DAY(Postup!$H$25)=31,MONTH(Postup!$H$25)=12,YEAR(Postup!$H$25)=$AU$53),Provozování!BI43-Provozování!BI102,IF(YEAR(Postup!$H$25)=$AU$53,Provozování!$BM43-Provozování!BI102,0)))</f>
        <v>0</v>
      </c>
      <c r="AW73" s="133">
        <f>IF(Provozování!$BJ$16="Neaktivní",0,Provozování!BJ43-Provozování!BH102*R45)</f>
        <v>0</v>
      </c>
      <c r="AX73" s="129">
        <f>IF(Provozování!$BJ$16="Neaktivní",0,Provozování!BK43-Provozování!BI102*R45)</f>
        <v>0</v>
      </c>
    </row>
    <row r="74" spans="1:50" x14ac:dyDescent="0.25">
      <c r="A74" s="31"/>
      <c r="B74" s="12" t="s">
        <v>46</v>
      </c>
      <c r="C74" s="854" t="s">
        <v>47</v>
      </c>
      <c r="D74" s="854"/>
      <c r="E74" s="854"/>
      <c r="F74" s="3" t="s">
        <v>10</v>
      </c>
      <c r="G74" s="133">
        <f>IF(AND(DAY(Postup!$H$24)=1,MONTH(Postup!$H$24)=1),Provozování!E44,Provozování!G44)</f>
        <v>5.0295890410958909E-2</v>
      </c>
      <c r="H74" s="129">
        <f>IF(AND(DAY(Postup!$H$24)=1,MONTH(Postup!$H$24)=1),Provozování!F44,Provozování!H44)</f>
        <v>4.5041095890410957E-2</v>
      </c>
      <c r="I74" s="133">
        <f>IF(Provozování!$I$16="Neaktivní",0,Provozování!I44)</f>
        <v>0</v>
      </c>
      <c r="J74" s="129">
        <f>IF(Provozování!$I$16="Neaktivní",0,Provozování!J44)</f>
        <v>0</v>
      </c>
      <c r="K74" s="133">
        <f>IF(YEAR(Postup!$H$25)&gt;$K$53,Provozování!O44,IF(AND(DAY(Postup!$H$25)=31,MONTH(Postup!$H$25)=12,YEAR(Postup!$H$25)=$K$53),Provozování!O44,IF(YEAR(Postup!$H$25)=$K$53,Provozování!$BL44,0)))</f>
        <v>6.9680000000000006E-2</v>
      </c>
      <c r="L74" s="129">
        <f>IF(YEAR(Postup!$H$25)&gt;$K$53,Provozování!P44,IF(AND(DAY(Postup!$H$25)=31,MONTH(Postup!$H$25)=12,YEAR(Postup!$H$25)=$K$53),Provozování!P44,IF(YEAR(Postup!$H$25)=$K$53,Provozování!$BM44,0)))</f>
        <v>6.2399999999999997E-2</v>
      </c>
      <c r="M74" s="133">
        <f>IF(Provozování!$Q$16="Neaktivní",0,Provozování!Q44)</f>
        <v>0</v>
      </c>
      <c r="N74" s="129">
        <f>IF(Provozování!$Q$16="Neaktivní",0,Provozování!R44)</f>
        <v>0</v>
      </c>
      <c r="O74" s="133">
        <f>IF(YEAR(Postup!$H$25)&gt;$O$53,Provozování!T44,IF(AND(DAY(Postup!$H$25)=31,MONTH(Postup!$H$25)=12,YEAR(Postup!$H$25)=$O$53),Provozování!T44,IF(YEAR(Postup!$H$25)=$O$53,Provozování!$BL44,0)))</f>
        <v>0</v>
      </c>
      <c r="P74" s="129">
        <f>IF(YEAR(Postup!$H$25)&gt;$O$53,Provozování!U44,IF(AND(DAY(Postup!$H$25)=31,MONTH(Postup!$H$25)=12,YEAR(Postup!$H$25)=$O$53),Provozování!U44,IF(YEAR(Postup!$H$25)=$O$53,Provozování!$BM44,0)))</f>
        <v>0</v>
      </c>
      <c r="Q74" s="133">
        <f>IF(Provozování!$V$16="Neaktivní",0,Provozování!V44)</f>
        <v>0</v>
      </c>
      <c r="R74" s="129">
        <f>IF(Provozování!$V$16="Neaktivní",0,Provozování!W44)</f>
        <v>0</v>
      </c>
      <c r="S74" s="133">
        <f>IF(YEAR(Postup!$H$25)&gt;$S$53,Provozování!Y44,IF(AND(DAY(Postup!$H$25)=31,MONTH(Postup!$H$25)=12,YEAR(Postup!$H$25)=$S$53),Provozování!Y44,IF(YEAR(Postup!$H$25)=$S$53,Provozování!$BL44,0)))</f>
        <v>0</v>
      </c>
      <c r="T74" s="129">
        <f>IF(YEAR(Postup!$H$25)&gt;$S$53,Provozování!Z44,IF(AND(DAY(Postup!$H$25)=31,MONTH(Postup!$H$25)=12,YEAR(Postup!$H$25)=$S$53),Provozování!Z44,IF(YEAR(Postup!$H$25)=$S$53,Provozování!$BM44,0)))</f>
        <v>0</v>
      </c>
      <c r="U74" s="133">
        <f>IF(Provozování!$AA$16="Neaktivní",0,Provozování!AA44)</f>
        <v>0</v>
      </c>
      <c r="V74" s="129">
        <f>IF(Provozování!$AA$16="Neaktivní",0,Provozování!AB44)</f>
        <v>0</v>
      </c>
      <c r="W74" s="133">
        <f>IF(YEAR(Postup!$H$25)&gt;$W$53,Provozování!AD44,IF(AND(DAY(Postup!$H$25)=31,MONTH(Postup!$H$25)=12,YEAR(Postup!$H$25)=$W$53),Provozování!AD44,IF(YEAR(Postup!$H$25)=$W$53,Provozování!$BL44,0)))</f>
        <v>0</v>
      </c>
      <c r="X74" s="129">
        <f>IF(YEAR(Postup!$H$25)&gt;$W$53,Provozování!AE44,IF(AND(DAY(Postup!$H$25)=31,MONTH(Postup!$H$25)=12,YEAR(Postup!$H$25)=$W$53),Provozování!AE44,IF(YEAR(Postup!$H$25)=$W$53,Provozování!$BM44,0)))</f>
        <v>0</v>
      </c>
      <c r="Y74" s="133">
        <f>IF(Provozování!$AF$16="Neaktivní",0,Provozování!AF44)</f>
        <v>0</v>
      </c>
      <c r="Z74" s="129">
        <f>IF(Provozování!$AF$16="Neaktivní",0,Provozování!AG44)</f>
        <v>0</v>
      </c>
      <c r="AA74" s="133">
        <f>IF(YEAR(Postup!$H$25)&gt;$AA$53,Provozování!AI44,IF(AND(DAY(Postup!$H$25)=31,MONTH(Postup!$H$25)=12,YEAR(Postup!$H$25)=$AA$53),Provozování!AI44,IF(YEAR(Postup!$H$25)=$AA$53,Provozování!$BL44,0)))</f>
        <v>0</v>
      </c>
      <c r="AB74" s="129">
        <f>IF(YEAR(Postup!$H$25)&gt;$AA$53,Provozování!AJ44,IF(AND(DAY(Postup!$H$25)=31,MONTH(Postup!$H$25)=12,YEAR(Postup!$H$25)=$AA$53),Provozování!AJ44,IF(YEAR(Postup!$H$25)=$AA$53,Provozování!$BM44,0)))</f>
        <v>0</v>
      </c>
      <c r="AC74" s="133">
        <f>IF(Provozování!$AK$16="Neaktivní",0,Provozování!AK44)</f>
        <v>0</v>
      </c>
      <c r="AD74" s="129">
        <f>IF(Provozování!$AK$16="Neaktivní",0,Provozování!AL44)</f>
        <v>0</v>
      </c>
      <c r="AE74" s="133">
        <f>IF(YEAR(Postup!$H$25)&gt;$AE$53,Provozování!AN44,IF(AND(DAY(Postup!$H$25)=31,MONTH(Postup!$H$25)=12,YEAR(Postup!$H$25)=$AE$53),Provozování!AN44,IF(YEAR(Postup!$H$25)=$AE$53,Provozování!$BL44,0)))</f>
        <v>0</v>
      </c>
      <c r="AF74" s="129">
        <f>IF(YEAR(Postup!$H$25)&gt;$AE$53,Provozování!AO44,IF(AND(DAY(Postup!$H$25)=31,MONTH(Postup!$H$25)=12,YEAR(Postup!$H$25)=$AE$53),Provozování!AO44,IF(YEAR(Postup!$H$25)=$AE$53,Provozování!$BM44,0)))</f>
        <v>0</v>
      </c>
      <c r="AG74" s="133">
        <f>IF(Provozování!$AP$16="Neaktivní",0,Provozování!AP44)</f>
        <v>0</v>
      </c>
      <c r="AH74" s="129">
        <f>IF(Provozování!$AP$16="Neaktivní",0,Provozování!AQ44)</f>
        <v>0</v>
      </c>
      <c r="AI74" s="133">
        <f>IF(YEAR(Postup!$H$25)&gt;$AI$53,Provozování!AS44,IF(AND(DAY(Postup!$H$25)=31,MONTH(Postup!$H$25)=12,YEAR(Postup!$H$25)=$AI$53),Provozování!AS44,IF(YEAR(Postup!$H$25)=$AI$53,Provozování!$BL44,0)))</f>
        <v>0</v>
      </c>
      <c r="AJ74" s="129">
        <f>IF(YEAR(Postup!$H$25)&gt;$AI$53,Provozování!AT44,IF(AND(DAY(Postup!$H$25)=31,MONTH(Postup!$H$25)=12,YEAR(Postup!$H$25)=$AI$53),Provozování!AT44,IF(YEAR(Postup!$H$25)=$AI$53,Provozování!$BM44,0)))</f>
        <v>0</v>
      </c>
      <c r="AK74" s="133">
        <f>IF(Provozování!$AU$16="Neaktivní",0,Provozování!AU44)</f>
        <v>0</v>
      </c>
      <c r="AL74" s="129">
        <f>IF(Provozování!$AU$16="Neaktivní",0,Provozování!AV44)</f>
        <v>0</v>
      </c>
      <c r="AM74" s="133">
        <f>IF(YEAR(Postup!$H$25)&gt;$AM$53,Provozování!AX44,IF(AND(DAY(Postup!$H$25)=31,MONTH(Postup!$H$25)=12,YEAR(Postup!$H$25)=$AM$53),Provozování!AX44,IF(YEAR(Postup!$H$25)=$AM$53,Provozování!$BL44,0)))</f>
        <v>0</v>
      </c>
      <c r="AN74" s="129">
        <f>IF(YEAR(Postup!$H$25)&gt;$AM$53,Provozování!AY44,IF(AND(DAY(Postup!$H$25)=31,MONTH(Postup!$H$25)=12,YEAR(Postup!$H$25)=$AM$53),Provozování!AY44,IF(YEAR(Postup!$H$25)=$AM$53,Provozování!$BM44,0)))</f>
        <v>0</v>
      </c>
      <c r="AO74" s="133">
        <f>IF(Provozování!$AZ$16="Neaktivní",0,Provozování!AZ44)</f>
        <v>0</v>
      </c>
      <c r="AP74" s="129">
        <f>IF(Provozování!$AZ$16="Neaktivní",0,Provozování!BA44)</f>
        <v>0</v>
      </c>
      <c r="AQ74" s="133">
        <f>IF(YEAR(Postup!$H$25)&gt;$AQ$53,Provozování!BC44,IF(AND(DAY(Postup!$H$25)=31,MONTH(Postup!$H$25)=12,YEAR(Postup!$H$25)=$AQ$53),Provozování!BC44,IF(YEAR(Postup!$H$25)=$AQ$53,Provozování!$BL44,0)))</f>
        <v>0</v>
      </c>
      <c r="AR74" s="129">
        <f>IF(YEAR(Postup!$H$25)&gt;$AM$53,Provozování!BD44,IF(AND(DAY(Postup!$H$25)=31,MONTH(Postup!$H$25)=12,YEAR(Postup!$H$25)=$AM$53),Provozování!BD44,IF(YEAR(Postup!$H$25)=$AM$53,Provozování!$BM44,0)))</f>
        <v>0</v>
      </c>
      <c r="AS74" s="133">
        <f>IF(Provozování!$BE$16="Neaktivní",0,Provozování!BE44)</f>
        <v>0</v>
      </c>
      <c r="AT74" s="129">
        <f>IF(Provozování!$BE$16="Neaktivní",0,Provozování!BF44)</f>
        <v>0</v>
      </c>
      <c r="AU74" s="133">
        <f>IF(YEAR(Postup!$H$25)&gt;$AU$53,Provozování!BH44,IF(AND(DAY(Postup!$H$25)=31,MONTH(Postup!$H$25)=12,YEAR(Postup!$H$25)=$AU$53),Provozování!BH44,IF(YEAR(Postup!$H$25)=$AU$53,Provozování!$BL44,0)))</f>
        <v>0</v>
      </c>
      <c r="AV74" s="129">
        <f>IF(YEAR(Postup!$H$25)&gt;$AU$53,Provozování!BI44,IF(AND(DAY(Postup!$H$25)=31,MONTH(Postup!$H$25)=12,YEAR(Postup!$H$25)=$AU$53),Provozování!BI44,IF(YEAR(Postup!$H$25)=$AU$53,Provozování!$BM44,0)))</f>
        <v>0</v>
      </c>
      <c r="AW74" s="133">
        <f>IF(Provozování!$BJ$16="Neaktivní",0,Provozování!BJ44)</f>
        <v>0</v>
      </c>
      <c r="AX74" s="129">
        <f>IF(Provozování!$BJ$16="Neaktivní",0,Provozování!BK44)</f>
        <v>0</v>
      </c>
    </row>
    <row r="75" spans="1:50" ht="15.75" thickBot="1" x14ac:dyDescent="0.3">
      <c r="A75" s="31"/>
      <c r="B75" s="12" t="s">
        <v>48</v>
      </c>
      <c r="C75" s="854" t="s">
        <v>49</v>
      </c>
      <c r="D75" s="854"/>
      <c r="E75" s="854"/>
      <c r="F75" s="3" t="s">
        <v>10</v>
      </c>
      <c r="G75" s="199">
        <f>IF(AND(DAY(Postup!$H$24)=1,MONTH(Postup!$H$24)=1),Provozování!E45,Provozování!G45)</f>
        <v>4.0536986301369864E-2</v>
      </c>
      <c r="H75" s="131">
        <f>IF(AND(DAY(Postup!$H$24)=1,MONTH(Postup!$H$24)=1),Provozování!F45,Provozování!H45)</f>
        <v>3.7534246575342468E-2</v>
      </c>
      <c r="I75" s="199">
        <f>IF(Provozování!$I$16="Neaktivní",0,Provozování!I45)</f>
        <v>0</v>
      </c>
      <c r="J75" s="131">
        <f>IF(Provozování!$I$16="Neaktivní",0,Provozování!J45)</f>
        <v>0</v>
      </c>
      <c r="K75" s="199">
        <f>IF(YEAR(Postup!$H$25)&gt;$K$53,Provozování!O45,IF(AND(DAY(Postup!$H$25)=31,MONTH(Postup!$H$25)=12,YEAR(Postup!$H$25)=$K$53),Provozování!O45,IF(YEAR(Postup!$H$25)=$K$53,Provozování!$BL45,0)))</f>
        <v>5.6160000000000002E-2</v>
      </c>
      <c r="L75" s="131">
        <f>IF(YEAR(Postup!$H$25)&gt;$K$53,Provozování!P45,IF(AND(DAY(Postup!$H$25)=31,MONTH(Postup!$H$25)=12,YEAR(Postup!$H$25)=$K$53),Provozování!P45,IF(YEAR(Postup!$H$25)=$K$53,Provozování!$BM45,0)))</f>
        <v>5.2000000000000005E-2</v>
      </c>
      <c r="M75" s="199">
        <f>IF(Provozování!$Q$16="Neaktivní",0,Provozování!Q45)</f>
        <v>0</v>
      </c>
      <c r="N75" s="131">
        <f>IF(Provozování!$Q$16="Neaktivní",0,Provozování!R45)</f>
        <v>0</v>
      </c>
      <c r="O75" s="199">
        <f>IF(YEAR(Postup!$H$25)&gt;$O$53,Provozování!T45,IF(AND(DAY(Postup!$H$25)=31,MONTH(Postup!$H$25)=12,YEAR(Postup!$H$25)=$O$53),Provozování!T45,IF(YEAR(Postup!$H$25)=$O$53,Provozování!$BL45,0)))</f>
        <v>0</v>
      </c>
      <c r="P75" s="131">
        <f>IF(YEAR(Postup!$H$25)&gt;$O$53,Provozování!U45,IF(AND(DAY(Postup!$H$25)=31,MONTH(Postup!$H$25)=12,YEAR(Postup!$H$25)=$O$53),Provozování!U45,IF(YEAR(Postup!$H$25)=$O$53,Provozování!$BM45,0)))</f>
        <v>0</v>
      </c>
      <c r="Q75" s="199">
        <f>IF(Provozování!$V$16="Neaktivní",0,Provozování!V45)</f>
        <v>0</v>
      </c>
      <c r="R75" s="131">
        <f>IF(Provozování!$V$16="Neaktivní",0,Provozování!W45)</f>
        <v>0</v>
      </c>
      <c r="S75" s="199">
        <f>IF(YEAR(Postup!$H$25)&gt;$S$53,Provozování!Y45,IF(AND(DAY(Postup!$H$25)=31,MONTH(Postup!$H$25)=12,YEAR(Postup!$H$25)=$S$53),Provozování!Y45,IF(YEAR(Postup!$H$25)=$S$53,Provozování!$BL45,0)))</f>
        <v>0</v>
      </c>
      <c r="T75" s="131">
        <f>IF(YEAR(Postup!$H$25)&gt;$S$53,Provozování!Z45,IF(AND(DAY(Postup!$H$25)=31,MONTH(Postup!$H$25)=12,YEAR(Postup!$H$25)=$S$53),Provozování!Z45,IF(YEAR(Postup!$H$25)=$S$53,Provozování!$BM45,0)))</f>
        <v>0</v>
      </c>
      <c r="U75" s="199">
        <f>IF(Provozování!$AA$16="Neaktivní",0,Provozování!AA45)</f>
        <v>0</v>
      </c>
      <c r="V75" s="131">
        <f>IF(Provozování!$AA$16="Neaktivní",0,Provozování!AB45)</f>
        <v>0</v>
      </c>
      <c r="W75" s="199">
        <f>IF(YEAR(Postup!$H$25)&gt;$W$53,Provozování!AD45,IF(AND(DAY(Postup!$H$25)=31,MONTH(Postup!$H$25)=12,YEAR(Postup!$H$25)=$W$53),Provozování!AD45,IF(YEAR(Postup!$H$25)=$W$53,Provozování!$BL45,0)))</f>
        <v>0</v>
      </c>
      <c r="X75" s="131">
        <f>IF(YEAR(Postup!$H$25)&gt;$W$53,Provozování!AE45,IF(AND(DAY(Postup!$H$25)=31,MONTH(Postup!$H$25)=12,YEAR(Postup!$H$25)=$W$53),Provozování!AE45,IF(YEAR(Postup!$H$25)=$W$53,Provozování!$BM45,0)))</f>
        <v>0</v>
      </c>
      <c r="Y75" s="199">
        <f>IF(Provozování!$AF$16="Neaktivní",0,Provozování!AF45)</f>
        <v>0</v>
      </c>
      <c r="Z75" s="131">
        <f>IF(Provozování!$AF$16="Neaktivní",0,Provozování!AG45)</f>
        <v>0</v>
      </c>
      <c r="AA75" s="199">
        <f>IF(YEAR(Postup!$H$25)&gt;$AA$53,Provozování!AI45,IF(AND(DAY(Postup!$H$25)=31,MONTH(Postup!$H$25)=12,YEAR(Postup!$H$25)=$AA$53),Provozování!AI45,IF(YEAR(Postup!$H$25)=$AA$53,Provozování!$BL45,0)))</f>
        <v>0</v>
      </c>
      <c r="AB75" s="131">
        <f>IF(YEAR(Postup!$H$25)&gt;$AA$53,Provozování!AJ45,IF(AND(DAY(Postup!$H$25)=31,MONTH(Postup!$H$25)=12,YEAR(Postup!$H$25)=$AA$53),Provozování!AJ45,IF(YEAR(Postup!$H$25)=$AA$53,Provozování!$BM45,0)))</f>
        <v>0</v>
      </c>
      <c r="AC75" s="199">
        <f>IF(Provozování!$AK$16="Neaktivní",0,Provozování!AK45)</f>
        <v>0</v>
      </c>
      <c r="AD75" s="131">
        <f>IF(Provozování!$AK$16="Neaktivní",0,Provozování!AL45)</f>
        <v>0</v>
      </c>
      <c r="AE75" s="199">
        <f>IF(YEAR(Postup!$H$25)&gt;$AE$53,Provozování!AN45,IF(AND(DAY(Postup!$H$25)=31,MONTH(Postup!$H$25)=12,YEAR(Postup!$H$25)=$AE$53),Provozování!AN45,IF(YEAR(Postup!$H$25)=$AE$53,Provozování!$BL45,0)))</f>
        <v>0</v>
      </c>
      <c r="AF75" s="131">
        <f>IF(YEAR(Postup!$H$25)&gt;$AE$53,Provozování!AO45,IF(AND(DAY(Postup!$H$25)=31,MONTH(Postup!$H$25)=12,YEAR(Postup!$H$25)=$AE$53),Provozování!AO45,IF(YEAR(Postup!$H$25)=$AE$53,Provozování!$BM45,0)))</f>
        <v>0</v>
      </c>
      <c r="AG75" s="199">
        <f>IF(Provozování!$AP$16="Neaktivní",0,Provozování!AP45)</f>
        <v>0</v>
      </c>
      <c r="AH75" s="131">
        <f>IF(Provozování!$AP$16="Neaktivní",0,Provozování!AQ45)</f>
        <v>0</v>
      </c>
      <c r="AI75" s="199">
        <f>IF(YEAR(Postup!$H$25)&gt;$AI$53,Provozování!AS45,IF(AND(DAY(Postup!$H$25)=31,MONTH(Postup!$H$25)=12,YEAR(Postup!$H$25)=$AI$53),Provozování!AS45,IF(YEAR(Postup!$H$25)=$AI$53,Provozování!$BL45,0)))</f>
        <v>0</v>
      </c>
      <c r="AJ75" s="131">
        <f>IF(YEAR(Postup!$H$25)&gt;$AI$53,Provozování!AT45,IF(AND(DAY(Postup!$H$25)=31,MONTH(Postup!$H$25)=12,YEAR(Postup!$H$25)=$AI$53),Provozování!AT45,IF(YEAR(Postup!$H$25)=$AI$53,Provozování!$BM45,0)))</f>
        <v>0</v>
      </c>
      <c r="AK75" s="199">
        <f>IF(Provozování!$AU$16="Neaktivní",0,Provozování!AU45)</f>
        <v>0</v>
      </c>
      <c r="AL75" s="131">
        <f>IF(Provozování!$AU$16="Neaktivní",0,Provozování!AV45)</f>
        <v>0</v>
      </c>
      <c r="AM75" s="199">
        <f>IF(YEAR(Postup!$H$25)&gt;$AM$53,Provozování!AX45,IF(AND(DAY(Postup!$H$25)=31,MONTH(Postup!$H$25)=12,YEAR(Postup!$H$25)=$AM$53),Provozování!AX45,IF(YEAR(Postup!$H$25)=$AM$53,Provozování!$BL45,0)))</f>
        <v>0</v>
      </c>
      <c r="AN75" s="131">
        <f>IF(YEAR(Postup!$H$25)&gt;$AM$53,Provozování!AY45,IF(AND(DAY(Postup!$H$25)=31,MONTH(Postup!$H$25)=12,YEAR(Postup!$H$25)=$AM$53),Provozování!AY45,IF(YEAR(Postup!$H$25)=$AM$53,Provozování!$BM45,0)))</f>
        <v>0</v>
      </c>
      <c r="AO75" s="199">
        <f>IF(Provozování!$AZ$16="Neaktivní",0,Provozování!AZ45)</f>
        <v>0</v>
      </c>
      <c r="AP75" s="131">
        <f>IF(Provozování!$AZ$16="Neaktivní",0,Provozování!BA45)</f>
        <v>0</v>
      </c>
      <c r="AQ75" s="199">
        <f>IF(YEAR(Postup!$H$25)&gt;$AQ$53,Provozování!BC45,IF(AND(DAY(Postup!$H$25)=31,MONTH(Postup!$H$25)=12,YEAR(Postup!$H$25)=$AQ$53),Provozování!BC45,IF(YEAR(Postup!$H$25)=$AQ$53,Provozování!$BL45,0)))</f>
        <v>0</v>
      </c>
      <c r="AR75" s="131">
        <f>IF(YEAR(Postup!$H$25)&gt;$AM$53,Provozování!BD45,IF(AND(DAY(Postup!$H$25)=31,MONTH(Postup!$H$25)=12,YEAR(Postup!$H$25)=$AM$53),Provozování!BD45,IF(YEAR(Postup!$H$25)=$AM$53,Provozování!$BM45,0)))</f>
        <v>0</v>
      </c>
      <c r="AS75" s="199">
        <f>IF(Provozování!$BE$16="Neaktivní",0,Provozování!BE45)</f>
        <v>0</v>
      </c>
      <c r="AT75" s="131">
        <f>IF(Provozování!$BE$16="Neaktivní",0,Provozování!BF45)</f>
        <v>0</v>
      </c>
      <c r="AU75" s="199">
        <f>IF(YEAR(Postup!$H$25)&gt;$AU$53,Provozování!BH45,IF(AND(DAY(Postup!$H$25)=31,MONTH(Postup!$H$25)=12,YEAR(Postup!$H$25)=$AU$53),Provozování!BH45,IF(YEAR(Postup!$H$25)=$AU$53,Provozování!$BL45,0)))</f>
        <v>0</v>
      </c>
      <c r="AV75" s="131">
        <f>IF(YEAR(Postup!$H$25)&gt;$AU$53,Provozování!BI45,IF(AND(DAY(Postup!$H$25)=31,MONTH(Postup!$H$25)=12,YEAR(Postup!$H$25)=$AU$53),Provozování!BI45,IF(YEAR(Postup!$H$25)=$AU$53,Provozování!$BM45,0)))</f>
        <v>0</v>
      </c>
      <c r="AW75" s="199">
        <f>IF(Provozování!$BJ$16="Neaktivní",0,Provozování!BJ45)</f>
        <v>0</v>
      </c>
      <c r="AX75" s="131">
        <f>IF(Provozování!$BJ$16="Neaktivní",0,Provozování!BK45)</f>
        <v>0</v>
      </c>
    </row>
    <row r="76" spans="1:50" x14ac:dyDescent="0.25">
      <c r="A76" s="31"/>
      <c r="B76" s="210" t="s">
        <v>30</v>
      </c>
      <c r="C76" s="1169" t="s">
        <v>381</v>
      </c>
      <c r="D76" s="854"/>
      <c r="E76" s="854"/>
      <c r="F76" s="3" t="s">
        <v>10</v>
      </c>
      <c r="G76" s="420">
        <f>IF(AND(DAY(Postup!$H$24)=1,MONTH(Postup!$H$24)=1),Provozování!E34,Provozování!G34)</f>
        <v>0</v>
      </c>
      <c r="H76" s="417">
        <f>IF(AND(DAY(Postup!$H$24)=1,MONTH(Postup!$H$24)=1),Provozování!F34,Provozování!H34)</f>
        <v>0</v>
      </c>
      <c r="I76" s="416">
        <f>IF(Provozování!$I$16="Neaktivní",0,Provozování!I34)</f>
        <v>0</v>
      </c>
      <c r="J76" s="417">
        <f>IF(Provozování!$I$16="Neaktivní",0,Provozování!J34)</f>
        <v>0</v>
      </c>
      <c r="K76" s="416">
        <f>IF(YEAR(Postup!$H$25)&gt;$K$53,Provozování!O34,IF(AND(DAY(Postup!$H$25)=31,MONTH(Postup!$H$25)=12,YEAR(Postup!$H$25)=$K$53),Provozování!O34,IF(YEAR(Postup!$H$25)=$K$53,Provozování!$BL34,0)))</f>
        <v>0</v>
      </c>
      <c r="L76" s="417">
        <f>IF(YEAR(Postup!$H$25)&gt;$K$53,Provozování!P34,IF(AND(DAY(Postup!$H$25)=31,MONTH(Postup!$H$25)=12,YEAR(Postup!$H$25)=$K$53),Provozování!P34,IF(YEAR(Postup!$H$25)=$K$53,Provozování!$BM34,0)))</f>
        <v>0</v>
      </c>
      <c r="M76" s="416">
        <f>IF(Provozování!$Q$16="Neaktivní",0,Provozování!Q34)</f>
        <v>0</v>
      </c>
      <c r="N76" s="417">
        <f>IF(Provozování!$Q$16="Neaktivní",0,Provozování!R34)</f>
        <v>0</v>
      </c>
      <c r="O76" s="416">
        <f>IF(YEAR(Postup!$H$25)&gt;$O$53,Provozování!T34,IF(AND(DAY(Postup!$H$25)=31,MONTH(Postup!$H$25)=12,YEAR(Postup!$H$25)=$O$53),Provozování!T34,IF(YEAR(Postup!$H$25)=$O$53,Provozování!$BL34,0)))</f>
        <v>0</v>
      </c>
      <c r="P76" s="417">
        <f>IF(YEAR(Postup!$H$25)&gt;$O$53,Provozování!U34,IF(AND(DAY(Postup!$H$25)=31,MONTH(Postup!$H$25)=12,YEAR(Postup!$H$25)=$O$53),Provozování!U34,IF(YEAR(Postup!$H$25)=$O$53,Provozování!$BM34,0)))</f>
        <v>0</v>
      </c>
      <c r="Q76" s="416">
        <f>IF(Provozování!$V$16="Neaktivní",0,Provozování!V34)</f>
        <v>0</v>
      </c>
      <c r="R76" s="417">
        <f>IF(Provozování!$V$16="Neaktivní",0,Provozování!W34)</f>
        <v>0</v>
      </c>
      <c r="S76" s="416">
        <f>IF(YEAR(Postup!$H$25)&gt;$S$53,Provozování!Y34,IF(AND(DAY(Postup!$H$25)=31,MONTH(Postup!$H$25)=12,YEAR(Postup!$H$25)=$S$53),Provozování!Y34,IF(YEAR(Postup!$H$25)=$S$53,Provozování!$BL34,0)))</f>
        <v>0</v>
      </c>
      <c r="T76" s="417">
        <f>IF(YEAR(Postup!$H$25)&gt;$S$53,Provozování!Z34,IF(AND(DAY(Postup!$H$25)=31,MONTH(Postup!$H$25)=12,YEAR(Postup!$H$25)=$S$53),Provozování!Z34,IF(YEAR(Postup!$H$25)=$S$53,Provozování!$BM34,0)))</f>
        <v>0</v>
      </c>
      <c r="U76" s="416">
        <f>IF(Provozování!$AA$16="Neaktivní",0,Provozování!AA34)</f>
        <v>0</v>
      </c>
      <c r="V76" s="417">
        <f>IF(Provozování!$AA$16="Neaktivní",0,Provozování!AB34)</f>
        <v>0</v>
      </c>
      <c r="W76" s="416">
        <f>IF(YEAR(Postup!$H$25)&gt;$W$53,Provozování!AD34,IF(AND(DAY(Postup!$H$25)=31,MONTH(Postup!$H$25)=12,YEAR(Postup!$H$25)=$W$53),Provozování!AD34,IF(YEAR(Postup!$H$25)=$W$53,Provozování!$BL34,0)))</f>
        <v>0</v>
      </c>
      <c r="X76" s="417">
        <f>IF(YEAR(Postup!$H$25)&gt;$W$53,Provozování!AE34,IF(AND(DAY(Postup!$H$25)=31,MONTH(Postup!$H$25)=12,YEAR(Postup!$H$25)=$W$53),Provozování!AE34,IF(YEAR(Postup!$H$25)=$W$53,Provozování!$BM34,0)))</f>
        <v>0</v>
      </c>
      <c r="Y76" s="416">
        <f>IF(Provozování!$AF$16="Neaktivní",0,Provozování!AF34)</f>
        <v>0</v>
      </c>
      <c r="Z76" s="417">
        <f>IF(Provozování!$AF$16="Neaktivní",0,Provozování!AG34)</f>
        <v>0</v>
      </c>
      <c r="AA76" s="416">
        <f>IF(YEAR(Postup!$H$25)&gt;$AA$53,Provozování!AI34,IF(AND(DAY(Postup!$H$25)=31,MONTH(Postup!$H$25)=12,YEAR(Postup!$H$25)=$AA$53),Provozování!AI34,IF(YEAR(Postup!$H$25)=$AA$53,Provozování!$BL34,0)))</f>
        <v>0</v>
      </c>
      <c r="AB76" s="417">
        <f>IF(YEAR(Postup!$H$25)&gt;$AA$53,Provozování!AJ34,IF(AND(DAY(Postup!$H$25)=31,MONTH(Postup!$H$25)=12,YEAR(Postup!$H$25)=$AA$53),Provozování!AJ34,IF(YEAR(Postup!$H$25)=$AA$53,Provozování!$BM34,0)))</f>
        <v>0</v>
      </c>
      <c r="AC76" s="416">
        <f>IF(Provozování!$AK$16="Neaktivní",0,Provozování!AK34)</f>
        <v>0</v>
      </c>
      <c r="AD76" s="417">
        <f>IF(Provozování!$AK$16="Neaktivní",0,Provozování!AL34)</f>
        <v>0</v>
      </c>
      <c r="AE76" s="416">
        <f>IF(YEAR(Postup!$H$25)&gt;$AE$53,Provozování!AN34,IF(AND(DAY(Postup!$H$25)=31,MONTH(Postup!$H$25)=12,YEAR(Postup!$H$25)=$AE$53),Provozování!AN34,IF(YEAR(Postup!$H$25)=$AE$53,Provozování!$BL34,0)))</f>
        <v>0</v>
      </c>
      <c r="AF76" s="417">
        <f>IF(YEAR(Postup!$H$25)&gt;$AE$53,Provozování!AO34,IF(AND(DAY(Postup!$H$25)=31,MONTH(Postup!$H$25)=12,YEAR(Postup!$H$25)=$AE$53),Provozování!AO34,IF(YEAR(Postup!$H$25)=$AE$53,Provozování!$BM34,0)))</f>
        <v>0</v>
      </c>
      <c r="AG76" s="416">
        <f>IF(Provozování!$AP$16="Neaktivní",0,Provozování!AP34)</f>
        <v>0</v>
      </c>
      <c r="AH76" s="417">
        <f>IF(Provozování!$AP$16="Neaktivní",0,Provozování!AQ34)</f>
        <v>0</v>
      </c>
      <c r="AI76" s="416">
        <f>IF(YEAR(Postup!$H$25)&gt;$AI$53,Provozování!AS34,IF(AND(DAY(Postup!$H$25)=31,MONTH(Postup!$H$25)=12,YEAR(Postup!$H$25)=$AI$53),Provozování!AS34,IF(YEAR(Postup!$H$25)=$AI$53,Provozování!$BL34,0)))</f>
        <v>0</v>
      </c>
      <c r="AJ76" s="417">
        <f>IF(YEAR(Postup!$H$25)&gt;$AI$53,Provozování!AT34,IF(AND(DAY(Postup!$H$25)=31,MONTH(Postup!$H$25)=12,YEAR(Postup!$H$25)=$AI$53),Provozování!AT34,IF(YEAR(Postup!$H$25)=$AI$53,Provozování!$BM34,0)))</f>
        <v>0</v>
      </c>
      <c r="AK76" s="416">
        <f>IF(Provozování!$AU$16="Neaktivní",0,Provozování!AU34)</f>
        <v>0</v>
      </c>
      <c r="AL76" s="417">
        <f>IF(Provozování!$AU$16="Neaktivní",0,Provozování!AV34)</f>
        <v>0</v>
      </c>
      <c r="AM76" s="416">
        <f>IF(YEAR(Postup!$H$25)&gt;$AM$53,Provozování!AX34,IF(AND(DAY(Postup!$H$25)=31,MONTH(Postup!$H$25)=12,YEAR(Postup!$H$25)=$AM$53),Provozování!AX34,IF(YEAR(Postup!$H$25)=$AM$53,Provozování!$BL34,0)))</f>
        <v>0</v>
      </c>
      <c r="AN76" s="417">
        <f>IF(YEAR(Postup!$H$25)&gt;$AM$53,Provozování!AY34,IF(AND(DAY(Postup!$H$25)=31,MONTH(Postup!$H$25)=12,YEAR(Postup!$H$25)=$AM$53),Provozování!AY34,IF(YEAR(Postup!$H$25)=$AM$53,Provozování!$BM34,0)))</f>
        <v>0</v>
      </c>
      <c r="AO76" s="416">
        <f>IF(Provozování!$AZ$16="Neaktivní",0,Provozování!AZ34)</f>
        <v>0</v>
      </c>
      <c r="AP76" s="417">
        <f>IF(Provozování!$AZ$16="Neaktivní",0,Provozování!BA34)</f>
        <v>0</v>
      </c>
      <c r="AQ76" s="416">
        <f>IF(YEAR(Postup!$H$25)&gt;$AQ$53,Provozování!BC34,IF(AND(DAY(Postup!$H$25)=31,MONTH(Postup!$H$25)=12,YEAR(Postup!$H$25)=$AQ$53),Provozování!BC34,IF(YEAR(Postup!$H$25)=$AQ$53,Provozování!$BL34,0)))</f>
        <v>0</v>
      </c>
      <c r="AR76" s="417">
        <f>IF(YEAR(Postup!$H$25)&gt;$AM$53,Provozování!BD34,IF(AND(DAY(Postup!$H$25)=31,MONTH(Postup!$H$25)=12,YEAR(Postup!$H$25)=$AM$53),Provozování!BD34,IF(YEAR(Postup!$H$25)=$AM$53,Provozování!$BM34,0)))</f>
        <v>0</v>
      </c>
      <c r="AS76" s="416">
        <f>IF(Provozování!$BE$16="Neaktivní",0,Provozování!BE34)</f>
        <v>0</v>
      </c>
      <c r="AT76" s="417">
        <f>IF(Provozování!$BE$16="Neaktivní",0,Provozování!BF34)</f>
        <v>0</v>
      </c>
      <c r="AU76" s="416">
        <f>IF(YEAR(Postup!$H$25)&gt;$AU$53,Provozování!BH34,IF(AND(DAY(Postup!$H$25)=31,MONTH(Postup!$H$25)=12,YEAR(Postup!$H$25)=$AU$53),Provozování!BH34,IF(YEAR(Postup!$H$25)=$AU$53,Provozování!$BL34,0)))</f>
        <v>0</v>
      </c>
      <c r="AV76" s="417">
        <f>IF(YEAR(Postup!$H$25)&gt;$AU$53,Provozování!BI34,IF(AND(DAY(Postup!$H$25)=31,MONTH(Postup!$H$25)=12,YEAR(Postup!$H$25)=$AU$53),Provozování!BI34,IF(YEAR(Postup!$H$25)=$AU$53,Provozování!$BM34,0)))</f>
        <v>0</v>
      </c>
      <c r="AW76" s="416">
        <f>IF(Provozování!$BJ$16="Neaktivní",0,Provozování!BJ34)</f>
        <v>0</v>
      </c>
      <c r="AX76" s="417">
        <f>IF(Provozování!$BJ$16="Neaktivní",0,Provozování!BK34)</f>
        <v>0</v>
      </c>
    </row>
    <row r="77" spans="1:50" x14ac:dyDescent="0.25">
      <c r="A77" s="31"/>
      <c r="B77" s="31"/>
      <c r="C77" s="854" t="s">
        <v>320</v>
      </c>
      <c r="D77" s="854"/>
      <c r="E77" s="854"/>
      <c r="F77" s="3" t="s">
        <v>10</v>
      </c>
      <c r="G77" s="128">
        <f>G80-G76</f>
        <v>0</v>
      </c>
      <c r="H77" s="129">
        <f>H80-H76</f>
        <v>0</v>
      </c>
      <c r="I77" s="411" t="s">
        <v>319</v>
      </c>
      <c r="J77" s="412" t="s">
        <v>319</v>
      </c>
      <c r="K77" s="133">
        <f>G77-K76</f>
        <v>0</v>
      </c>
      <c r="L77" s="129">
        <f>H77-L76</f>
        <v>0</v>
      </c>
      <c r="M77" s="411" t="s">
        <v>319</v>
      </c>
      <c r="N77" s="412" t="s">
        <v>319</v>
      </c>
      <c r="O77" s="133">
        <f>K77-O76</f>
        <v>0</v>
      </c>
      <c r="P77" s="129">
        <f>L77-P76</f>
        <v>0</v>
      </c>
      <c r="Q77" s="411" t="s">
        <v>319</v>
      </c>
      <c r="R77" s="412" t="s">
        <v>319</v>
      </c>
      <c r="S77" s="133">
        <f>O77-S76</f>
        <v>0</v>
      </c>
      <c r="T77" s="129">
        <f>P77-T76</f>
        <v>0</v>
      </c>
      <c r="U77" s="411" t="s">
        <v>319</v>
      </c>
      <c r="V77" s="412" t="s">
        <v>319</v>
      </c>
      <c r="W77" s="133">
        <f>S77-W76</f>
        <v>0</v>
      </c>
      <c r="X77" s="129">
        <f>T77-X76</f>
        <v>0</v>
      </c>
      <c r="Y77" s="411" t="s">
        <v>319</v>
      </c>
      <c r="Z77" s="412" t="s">
        <v>319</v>
      </c>
      <c r="AA77" s="133">
        <f>W77-AA76</f>
        <v>0</v>
      </c>
      <c r="AB77" s="129">
        <f>X77-AB76</f>
        <v>0</v>
      </c>
      <c r="AC77" s="411" t="s">
        <v>319</v>
      </c>
      <c r="AD77" s="412" t="s">
        <v>319</v>
      </c>
      <c r="AE77" s="133">
        <f>AA77-AE76</f>
        <v>0</v>
      </c>
      <c r="AF77" s="129">
        <f>AB77-AF76</f>
        <v>0</v>
      </c>
      <c r="AG77" s="411" t="s">
        <v>319</v>
      </c>
      <c r="AH77" s="412" t="s">
        <v>319</v>
      </c>
      <c r="AI77" s="133">
        <f>AE77-AI76</f>
        <v>0</v>
      </c>
      <c r="AJ77" s="129">
        <f>AF77-AJ76</f>
        <v>0</v>
      </c>
      <c r="AK77" s="411" t="s">
        <v>319</v>
      </c>
      <c r="AL77" s="412" t="s">
        <v>319</v>
      </c>
      <c r="AM77" s="133">
        <f>AI77-AM76</f>
        <v>0</v>
      </c>
      <c r="AN77" s="129">
        <f>AJ77-AN76</f>
        <v>0</v>
      </c>
      <c r="AO77" s="411" t="s">
        <v>319</v>
      </c>
      <c r="AP77" s="412" t="s">
        <v>319</v>
      </c>
      <c r="AQ77" s="133">
        <f>AM77-AQ76</f>
        <v>0</v>
      </c>
      <c r="AR77" s="129">
        <f>AN77-AR76</f>
        <v>0</v>
      </c>
      <c r="AS77" s="411" t="s">
        <v>319</v>
      </c>
      <c r="AT77" s="412" t="s">
        <v>319</v>
      </c>
      <c r="AU77" s="133">
        <f>AQ77-AU76</f>
        <v>0</v>
      </c>
      <c r="AV77" s="129">
        <f>AR77-AV76</f>
        <v>0</v>
      </c>
      <c r="AW77" s="411" t="s">
        <v>319</v>
      </c>
      <c r="AX77" s="412" t="s">
        <v>319</v>
      </c>
    </row>
    <row r="78" spans="1:50" ht="15.75" thickBot="1" x14ac:dyDescent="0.3">
      <c r="A78" s="31"/>
      <c r="B78" s="31"/>
      <c r="C78" s="854" t="s">
        <v>325</v>
      </c>
      <c r="D78" s="854"/>
      <c r="E78" s="854"/>
      <c r="F78" s="3" t="s">
        <v>10</v>
      </c>
      <c r="G78" s="411">
        <f>G80/E17</f>
        <v>0</v>
      </c>
      <c r="H78" s="412">
        <f>H80/E17</f>
        <v>0</v>
      </c>
      <c r="I78" s="418" t="s">
        <v>319</v>
      </c>
      <c r="J78" s="419" t="s">
        <v>319</v>
      </c>
      <c r="K78" s="418">
        <f>IF(AND(DAY($E$20)&lt;&gt;31,MONTH($E$20)&lt;&gt;12,K53=Provozování!$BL$19),G77/$E$23,G77)</f>
        <v>0</v>
      </c>
      <c r="L78" s="421">
        <f>IF(AND(DAY($E$20)&lt;&gt;31,MONTH($E$20)&lt;&gt;12,K53=Provozování!$BL$19),H77/$E$23,H77)</f>
        <v>0</v>
      </c>
      <c r="M78" s="418" t="s">
        <v>319</v>
      </c>
      <c r="N78" s="419" t="s">
        <v>319</v>
      </c>
      <c r="O78" s="418">
        <f>IF(AND(DAY($E$20)&lt;&gt;31,MONTH($E$20)&lt;&gt;12,O53=Provozování!$BL$19),K77/$E$23,K77)</f>
        <v>0</v>
      </c>
      <c r="P78" s="421">
        <f>IF(AND(DAY($E$20)&lt;&gt;31,MONTH($E$20)&lt;&gt;12,O53=Provozování!$BL$19),L77/$E$23,L77)</f>
        <v>0</v>
      </c>
      <c r="Q78" s="418" t="s">
        <v>319</v>
      </c>
      <c r="R78" s="419" t="s">
        <v>319</v>
      </c>
      <c r="S78" s="418">
        <f>IF(AND(DAY($E$20)&lt;&gt;31,MONTH($E$20)&lt;&gt;12,S53=Provozování!$BL$19),O77/$E$23,O77)</f>
        <v>0</v>
      </c>
      <c r="T78" s="421">
        <f>IF(AND(DAY($E$20)&lt;&gt;31,MONTH($E$20)&lt;&gt;12,S53=Provozování!$BL$19),P77/$E$23,P77)</f>
        <v>0</v>
      </c>
      <c r="U78" s="418" t="s">
        <v>319</v>
      </c>
      <c r="V78" s="419" t="s">
        <v>319</v>
      </c>
      <c r="W78" s="418">
        <f>IF(AND(DAY($E$20)&lt;&gt;31,MONTH($E$20)&lt;&gt;12,W53=Provozování!$BL$19),S77/$E$23,S77)</f>
        <v>0</v>
      </c>
      <c r="X78" s="421">
        <f>IF(AND(DAY($E$20)&lt;&gt;31,MONTH($E$20)&lt;&gt;12,W53=Provozování!$BL$19),T77/$E$23,T77)</f>
        <v>0</v>
      </c>
      <c r="Y78" s="418" t="s">
        <v>319</v>
      </c>
      <c r="Z78" s="419" t="s">
        <v>319</v>
      </c>
      <c r="AA78" s="418">
        <f>IF(AND(DAY($E$20)&lt;&gt;31,MONTH($E$20)&lt;&gt;12,AA53=Provozování!$BL$19),W77/$E$23,W77)</f>
        <v>0</v>
      </c>
      <c r="AB78" s="421">
        <f>IF(AND(DAY($E$20)&lt;&gt;31,MONTH($E$20)&lt;&gt;12,AA53=Provozování!$BL$19),X77/$E$23,X77)</f>
        <v>0</v>
      </c>
      <c r="AC78" s="418" t="s">
        <v>319</v>
      </c>
      <c r="AD78" s="419" t="s">
        <v>319</v>
      </c>
      <c r="AE78" s="418">
        <f>IF(AND(DAY($E$20)&lt;&gt;31,MONTH($E$20)&lt;&gt;12,AE53=Provozování!$BL$19),AA77/$E$23,AA77)</f>
        <v>0</v>
      </c>
      <c r="AF78" s="421">
        <f>IF(AND(DAY($E$20)&lt;&gt;31,MONTH($E$20)&lt;&gt;12,AE53=Provozování!$BL$19),AB77/$E$23,AB77)</f>
        <v>0</v>
      </c>
      <c r="AG78" s="418" t="s">
        <v>319</v>
      </c>
      <c r="AH78" s="419" t="s">
        <v>319</v>
      </c>
      <c r="AI78" s="418">
        <f>IF(AND(DAY($E$20)&lt;&gt;31,MONTH($E$20)&lt;&gt;12,AI53=Provozování!$BL$19),AE77/$E$23,AE77)</f>
        <v>0</v>
      </c>
      <c r="AJ78" s="421">
        <f>IF(AND(DAY($E$20)&lt;&gt;31,MONTH($E$20)&lt;&gt;12,AI53=Provozování!$BL$19),AF77/$E$23,AF77)</f>
        <v>0</v>
      </c>
      <c r="AK78" s="418" t="s">
        <v>319</v>
      </c>
      <c r="AL78" s="419" t="s">
        <v>319</v>
      </c>
      <c r="AM78" s="418">
        <f>IF(AND(DAY($E$20)&lt;&gt;31,MONTH($E$20)&lt;&gt;12,AM53=Provozování!$BL$19),AI77/$E$23,AI77)</f>
        <v>0</v>
      </c>
      <c r="AN78" s="421">
        <f>IF(AND(DAY($E$20)&lt;&gt;31,MONTH($E$20)&lt;&gt;12,AM53=Provozování!$BL$19),AJ77/$E$23,AJ77)</f>
        <v>0</v>
      </c>
      <c r="AO78" s="418" t="s">
        <v>319</v>
      </c>
      <c r="AP78" s="419" t="s">
        <v>319</v>
      </c>
      <c r="AQ78" s="418">
        <f>IF(AND(DAY($E$20)&lt;&gt;31,MONTH($E$20)&lt;&gt;12,AQ53=Provozování!$BL$19),AM77/$E$23,AM77)</f>
        <v>0</v>
      </c>
      <c r="AR78" s="421">
        <f>IF(AND(DAY($E$20)&lt;&gt;31,MONTH($E$20)&lt;&gt;12,AQ53=Provozování!$BL$19),AN77/$E$23,AN77)</f>
        <v>0</v>
      </c>
      <c r="AS78" s="418" t="s">
        <v>319</v>
      </c>
      <c r="AT78" s="419" t="s">
        <v>319</v>
      </c>
      <c r="AU78" s="418">
        <f>IF(AND(DAY($E$20)&lt;&gt;31,MONTH($E$20)&lt;&gt;12,AU53=Provozování!$BL$19),AQ77/$E$23,AQ77)</f>
        <v>0</v>
      </c>
      <c r="AV78" s="421">
        <f>IF(AND(DAY($E$20)&lt;&gt;31,MONTH($E$20)&lt;&gt;12,AU53=Provozování!$BL$19),AR77/$E$23,AR77)</f>
        <v>0</v>
      </c>
      <c r="AW78" s="418" t="s">
        <v>319</v>
      </c>
      <c r="AX78" s="419" t="s">
        <v>319</v>
      </c>
    </row>
    <row r="79" spans="1:50" x14ac:dyDescent="0.25">
      <c r="A79" s="31"/>
      <c r="B79" s="31"/>
      <c r="C79" s="409"/>
      <c r="D79" s="409"/>
      <c r="E79" s="409"/>
      <c r="F79" s="410"/>
      <c r="G79" s="408" t="s">
        <v>110</v>
      </c>
      <c r="H79" s="359" t="s">
        <v>111</v>
      </c>
      <c r="I79" s="31"/>
      <c r="J79" s="31"/>
      <c r="K79" s="31"/>
      <c r="L79" s="31"/>
      <c r="M79" s="31"/>
      <c r="N79" s="31"/>
      <c r="O79" s="31"/>
      <c r="P79" s="31"/>
    </row>
    <row r="80" spans="1:50" ht="15.75" thickBot="1" x14ac:dyDescent="0.3">
      <c r="A80" s="31"/>
      <c r="B80" s="31"/>
      <c r="C80" s="854" t="s">
        <v>321</v>
      </c>
      <c r="D80" s="854"/>
      <c r="E80" s="854"/>
      <c r="F80" s="3" t="s">
        <v>10</v>
      </c>
      <c r="G80" s="130">
        <f>IF(Postup!J78="Ne",Nabídka!F29*((Výpočty!E20-Výpočty!E14)/365.25),Provozování!E105)</f>
        <v>0</v>
      </c>
      <c r="H80" s="131">
        <f>IF(Postup!J78="Ne",Nabídka!H29*((Výpočty!E20-Výpočty!E14)/365.25),Provozování!F105)</f>
        <v>0</v>
      </c>
      <c r="I80" s="407"/>
      <c r="J80" s="31"/>
      <c r="K80" s="31"/>
      <c r="L80" s="31"/>
      <c r="M80" s="31"/>
      <c r="N80" s="31"/>
      <c r="O80" s="31"/>
      <c r="P80" s="31"/>
    </row>
    <row r="81" spans="1:21" x14ac:dyDescent="0.25">
      <c r="A81" s="31"/>
      <c r="B81" s="31"/>
      <c r="C81" s="31"/>
      <c r="D81" s="31"/>
      <c r="E81" s="31"/>
      <c r="F81" s="31"/>
      <c r="G81" s="31"/>
      <c r="H81" s="31"/>
      <c r="I81" s="31"/>
      <c r="J81" s="31"/>
      <c r="K81" s="31"/>
      <c r="L81" s="31"/>
      <c r="M81" s="31"/>
      <c r="N81" s="31"/>
      <c r="O81" s="31"/>
      <c r="P81" s="31"/>
    </row>
    <row r="82" spans="1:21" x14ac:dyDescent="0.25">
      <c r="A82" s="31"/>
      <c r="B82" s="31"/>
      <c r="C82" s="31"/>
      <c r="D82" s="31"/>
      <c r="E82" s="31"/>
      <c r="F82" s="31"/>
      <c r="G82" s="31"/>
      <c r="H82" s="31"/>
      <c r="I82" s="31"/>
      <c r="J82" s="31"/>
      <c r="K82" s="31"/>
      <c r="L82" s="31"/>
      <c r="M82" s="31"/>
      <c r="N82" s="31"/>
      <c r="O82" s="31"/>
      <c r="P82" s="31"/>
    </row>
    <row r="83" spans="1:21" hidden="1" x14ac:dyDescent="0.25">
      <c r="A83" s="31"/>
      <c r="B83" s="31"/>
      <c r="C83" s="31"/>
      <c r="D83" s="31"/>
      <c r="E83" s="31"/>
      <c r="F83" s="31"/>
      <c r="G83" s="31"/>
      <c r="H83" s="31"/>
      <c r="I83" s="31"/>
      <c r="J83" s="31"/>
      <c r="K83" s="31"/>
      <c r="L83" s="31"/>
      <c r="M83" s="31"/>
      <c r="N83" s="31"/>
      <c r="O83" s="31"/>
      <c r="P83" s="31"/>
    </row>
    <row r="84" spans="1:21" hidden="1" x14ac:dyDescent="0.25">
      <c r="A84" s="31"/>
      <c r="B84" s="31"/>
      <c r="C84" s="31"/>
      <c r="D84" s="31"/>
      <c r="E84" s="31"/>
      <c r="F84" s="31"/>
      <c r="G84" s="31"/>
      <c r="H84" s="31"/>
      <c r="I84" s="31"/>
      <c r="J84" s="31"/>
      <c r="K84" s="31"/>
      <c r="L84" s="31"/>
      <c r="M84" s="31"/>
      <c r="N84" s="31"/>
      <c r="O84" s="31"/>
      <c r="P84" s="31"/>
    </row>
    <row r="85" spans="1:21" hidden="1" x14ac:dyDescent="0.25">
      <c r="A85" s="31"/>
      <c r="B85" s="31"/>
      <c r="C85" s="31"/>
      <c r="D85" s="31"/>
      <c r="E85" s="31"/>
      <c r="F85" s="31"/>
      <c r="G85" s="31"/>
      <c r="H85" s="31"/>
      <c r="I85" s="31"/>
      <c r="J85" s="31"/>
      <c r="K85" s="31"/>
      <c r="L85" s="31"/>
      <c r="M85" s="31"/>
      <c r="N85" s="31"/>
      <c r="O85" s="31"/>
      <c r="P85" s="31"/>
    </row>
    <row r="86" spans="1:21" hidden="1" x14ac:dyDescent="0.25">
      <c r="A86" s="31"/>
      <c r="B86" s="31"/>
      <c r="C86" s="31"/>
      <c r="D86" s="31"/>
      <c r="E86" s="31"/>
      <c r="F86" s="31"/>
      <c r="G86" s="31"/>
      <c r="H86" s="31"/>
      <c r="I86" s="31"/>
      <c r="J86" s="31"/>
      <c r="K86" s="31"/>
      <c r="L86" s="31"/>
      <c r="M86" s="31"/>
      <c r="N86" s="31"/>
      <c r="O86" s="31"/>
      <c r="P86" s="31"/>
    </row>
    <row r="87" spans="1:21" hidden="1" x14ac:dyDescent="0.25">
      <c r="A87" s="31"/>
      <c r="B87" s="31"/>
      <c r="C87" s="31"/>
      <c r="D87" s="31"/>
      <c r="E87" s="31"/>
      <c r="F87" s="31"/>
      <c r="G87" s="31"/>
      <c r="H87" s="31"/>
      <c r="I87" s="31"/>
      <c r="J87" s="31"/>
      <c r="K87" s="31"/>
      <c r="L87" s="31"/>
      <c r="M87" s="31"/>
      <c r="N87" s="31"/>
      <c r="O87" s="31"/>
      <c r="P87" s="31"/>
    </row>
    <row r="88" spans="1:21" hidden="1" x14ac:dyDescent="0.25">
      <c r="A88" s="31"/>
      <c r="B88" s="31"/>
      <c r="C88" s="31"/>
      <c r="D88" s="31"/>
      <c r="E88" s="31"/>
      <c r="F88" s="31"/>
      <c r="G88" s="31"/>
      <c r="H88" s="31"/>
      <c r="I88" s="31"/>
      <c r="J88" s="31"/>
      <c r="K88" s="31"/>
      <c r="L88" s="31"/>
      <c r="M88" s="31"/>
      <c r="N88" s="31"/>
      <c r="O88" s="31"/>
      <c r="P88" s="31"/>
    </row>
    <row r="89" spans="1:21" hidden="1" x14ac:dyDescent="0.25">
      <c r="A89" s="31"/>
      <c r="B89" s="31"/>
      <c r="C89" s="31"/>
      <c r="D89" s="31"/>
      <c r="E89" s="31"/>
      <c r="F89" s="31"/>
      <c r="G89" s="31"/>
      <c r="H89" s="31"/>
      <c r="I89" s="31"/>
      <c r="J89" s="31"/>
      <c r="K89" s="31"/>
      <c r="L89" s="31"/>
      <c r="M89" s="31"/>
      <c r="N89" s="31"/>
      <c r="O89" s="31"/>
      <c r="P89" s="31"/>
    </row>
    <row r="90" spans="1:21" hidden="1" x14ac:dyDescent="0.25">
      <c r="A90" s="31"/>
      <c r="B90" s="31"/>
      <c r="C90" s="31"/>
      <c r="D90" s="31"/>
      <c r="E90" s="31"/>
      <c r="F90" s="31"/>
      <c r="G90" s="31"/>
      <c r="H90" s="31"/>
      <c r="I90" s="31"/>
      <c r="J90" s="31"/>
      <c r="K90" s="31"/>
      <c r="L90" s="31"/>
      <c r="M90" s="31"/>
      <c r="N90" s="31"/>
      <c r="O90" s="31"/>
      <c r="P90" s="31"/>
    </row>
    <row r="91" spans="1:21" hidden="1" x14ac:dyDescent="0.25">
      <c r="A91" s="31"/>
      <c r="B91" s="31"/>
      <c r="C91" s="31"/>
      <c r="D91" s="31"/>
      <c r="E91" s="31"/>
      <c r="F91" s="31"/>
      <c r="G91" s="31"/>
      <c r="H91" s="31"/>
      <c r="I91" s="31"/>
      <c r="J91" s="31"/>
      <c r="K91" s="31"/>
      <c r="L91" s="31"/>
      <c r="M91" s="31"/>
      <c r="N91" s="31"/>
      <c r="O91" s="31"/>
      <c r="P91" s="31"/>
    </row>
    <row r="92" spans="1:21" hidden="1" x14ac:dyDescent="0.25">
      <c r="A92" s="31"/>
      <c r="B92" s="77"/>
      <c r="C92" s="31"/>
      <c r="D92" s="31"/>
      <c r="E92" s="31"/>
      <c r="G92" s="293"/>
      <c r="H92" s="370"/>
      <c r="I92" s="370"/>
      <c r="J92" s="370"/>
      <c r="K92" s="370"/>
      <c r="L92" s="370"/>
      <c r="M92" s="370"/>
      <c r="N92" s="370"/>
      <c r="O92" s="370"/>
      <c r="P92" s="370"/>
      <c r="Q92" s="370"/>
      <c r="R92" s="370"/>
      <c r="S92" s="370"/>
      <c r="T92" s="370"/>
      <c r="U92" s="370"/>
    </row>
    <row r="93" spans="1:21" hidden="1" x14ac:dyDescent="0.25">
      <c r="A93" s="31"/>
      <c r="B93" s="31"/>
      <c r="C93" s="31"/>
      <c r="D93" s="31"/>
      <c r="E93" s="31"/>
      <c r="G93" s="371"/>
      <c r="H93" s="371"/>
      <c r="I93" s="371"/>
      <c r="J93" s="371"/>
      <c r="K93" s="371"/>
      <c r="L93" s="371"/>
      <c r="M93" s="371"/>
      <c r="N93" s="371"/>
      <c r="O93" s="371"/>
      <c r="P93" s="371"/>
      <c r="Q93" s="371"/>
      <c r="R93" s="371"/>
      <c r="S93" s="371"/>
      <c r="T93" s="371"/>
      <c r="U93" s="371"/>
    </row>
    <row r="94" spans="1:21" hidden="1" x14ac:dyDescent="0.25">
      <c r="A94" s="31"/>
      <c r="B94" s="31"/>
      <c r="C94" s="31"/>
      <c r="D94" s="31"/>
      <c r="E94" s="31"/>
      <c r="G94" s="371"/>
      <c r="H94" s="371"/>
      <c r="I94" s="371"/>
      <c r="J94" s="371"/>
      <c r="K94" s="371"/>
      <c r="L94" s="371"/>
      <c r="M94" s="371"/>
      <c r="N94" s="371"/>
      <c r="O94" s="371"/>
      <c r="P94" s="371"/>
      <c r="Q94" s="371"/>
      <c r="R94" s="371"/>
      <c r="S94" s="371"/>
      <c r="T94" s="371"/>
      <c r="U94" s="371"/>
    </row>
    <row r="95" spans="1:21" hidden="1" x14ac:dyDescent="0.25">
      <c r="A95" s="31"/>
      <c r="B95" s="31"/>
      <c r="C95" s="31"/>
      <c r="D95" s="31"/>
      <c r="E95" s="31"/>
      <c r="G95" s="371"/>
      <c r="H95" s="371"/>
      <c r="I95" s="371"/>
      <c r="J95" s="371"/>
      <c r="K95" s="371"/>
      <c r="L95" s="371"/>
      <c r="M95" s="371"/>
      <c r="N95" s="371"/>
      <c r="O95" s="371"/>
      <c r="P95" s="371"/>
      <c r="Q95" s="371"/>
      <c r="R95" s="371"/>
      <c r="S95" s="371"/>
      <c r="T95" s="371"/>
      <c r="U95" s="371"/>
    </row>
    <row r="96" spans="1:21" hidden="1" x14ac:dyDescent="0.25">
      <c r="A96" s="31"/>
      <c r="B96" s="31"/>
      <c r="C96" s="31"/>
      <c r="D96" s="31"/>
      <c r="E96" s="31"/>
      <c r="F96" s="31"/>
      <c r="G96" s="31"/>
      <c r="H96" s="31"/>
      <c r="I96" s="31"/>
      <c r="J96" s="31"/>
      <c r="K96" s="31"/>
      <c r="L96" s="31"/>
      <c r="M96" s="31"/>
      <c r="N96" s="31"/>
      <c r="O96" s="31"/>
      <c r="P96" s="31"/>
    </row>
    <row r="97" spans="1:16" hidden="1" x14ac:dyDescent="0.25">
      <c r="A97" s="31"/>
      <c r="B97" s="31"/>
      <c r="C97" s="31"/>
      <c r="D97" s="31"/>
      <c r="E97" s="31"/>
      <c r="F97" s="31"/>
      <c r="G97" s="31"/>
      <c r="H97" s="31"/>
      <c r="I97" s="31"/>
      <c r="J97" s="31"/>
      <c r="K97" s="31"/>
      <c r="L97" s="31"/>
      <c r="M97" s="31"/>
      <c r="N97" s="31"/>
      <c r="O97" s="31"/>
      <c r="P97" s="31"/>
    </row>
    <row r="98" spans="1:16" hidden="1" x14ac:dyDescent="0.25">
      <c r="A98" s="31"/>
      <c r="B98" s="31"/>
      <c r="C98" s="31"/>
      <c r="D98" s="31"/>
      <c r="E98" s="31"/>
      <c r="F98" s="31"/>
      <c r="G98" s="31"/>
      <c r="H98" s="31"/>
      <c r="I98" s="31"/>
      <c r="J98" s="31"/>
      <c r="K98" s="31"/>
      <c r="L98" s="31"/>
      <c r="M98" s="31"/>
      <c r="N98" s="31"/>
      <c r="O98" s="31"/>
      <c r="P98" s="31"/>
    </row>
    <row r="99" spans="1:16" hidden="1" x14ac:dyDescent="0.25">
      <c r="A99" s="31"/>
      <c r="B99" s="31"/>
      <c r="C99" s="31"/>
      <c r="D99" s="31"/>
      <c r="E99" s="31"/>
      <c r="F99" s="31"/>
      <c r="G99" s="31"/>
      <c r="H99" s="31"/>
      <c r="I99" s="31"/>
      <c r="J99" s="31"/>
      <c r="K99" s="31"/>
      <c r="L99" s="31"/>
      <c r="M99" s="31"/>
      <c r="N99" s="31"/>
      <c r="O99" s="31"/>
      <c r="P99" s="31"/>
    </row>
    <row r="100" spans="1:16" hidden="1" x14ac:dyDescent="0.25">
      <c r="A100" s="31"/>
      <c r="B100" s="31"/>
      <c r="C100" s="31"/>
      <c r="D100" s="31"/>
      <c r="E100" s="31"/>
      <c r="F100" s="31"/>
      <c r="G100" s="31"/>
      <c r="H100" s="31"/>
      <c r="I100" s="31"/>
      <c r="J100" s="31"/>
      <c r="K100" s="31"/>
      <c r="L100" s="31"/>
      <c r="M100" s="31"/>
      <c r="N100" s="31"/>
      <c r="O100" s="31"/>
      <c r="P100" s="31"/>
    </row>
    <row r="101" spans="1:16" hidden="1" x14ac:dyDescent="0.25">
      <c r="A101" s="31"/>
      <c r="B101" s="31"/>
      <c r="C101" s="31"/>
      <c r="D101" s="31"/>
      <c r="E101" s="31"/>
      <c r="F101" s="31"/>
      <c r="G101" s="31"/>
      <c r="H101" s="31"/>
      <c r="I101" s="31"/>
      <c r="J101" s="31"/>
      <c r="K101" s="31"/>
      <c r="L101" s="31"/>
      <c r="M101" s="31"/>
      <c r="N101" s="31"/>
      <c r="O101" s="31"/>
      <c r="P101" s="31"/>
    </row>
    <row r="102" spans="1:16" hidden="1" x14ac:dyDescent="0.25">
      <c r="A102" s="31"/>
      <c r="B102" s="31"/>
      <c r="C102" s="31"/>
      <c r="D102" s="31"/>
      <c r="E102" s="31"/>
      <c r="F102" s="31"/>
      <c r="G102" s="31"/>
      <c r="H102" s="31"/>
      <c r="I102" s="31"/>
      <c r="J102" s="31"/>
      <c r="K102" s="31"/>
      <c r="L102" s="31"/>
      <c r="M102" s="31"/>
      <c r="N102" s="31"/>
      <c r="O102" s="31"/>
      <c r="P102" s="31"/>
    </row>
    <row r="103" spans="1:16" hidden="1" x14ac:dyDescent="0.25">
      <c r="A103" s="31"/>
      <c r="B103" s="31"/>
      <c r="C103" s="31"/>
      <c r="D103" s="31"/>
      <c r="E103" s="31"/>
      <c r="F103" s="31"/>
      <c r="G103" s="31"/>
      <c r="H103" s="31"/>
      <c r="I103" s="31"/>
      <c r="J103" s="31"/>
      <c r="K103" s="31"/>
      <c r="L103" s="31"/>
      <c r="M103" s="31"/>
      <c r="N103" s="31"/>
      <c r="O103" s="31"/>
      <c r="P103" s="31"/>
    </row>
    <row r="104" spans="1:16" hidden="1" x14ac:dyDescent="0.25">
      <c r="A104" s="31"/>
      <c r="B104" s="31"/>
      <c r="C104" s="31"/>
      <c r="D104" s="31"/>
      <c r="E104" s="31"/>
      <c r="F104" s="31"/>
      <c r="G104" s="31"/>
      <c r="H104" s="31"/>
      <c r="I104" s="31"/>
      <c r="J104" s="31"/>
      <c r="K104" s="31"/>
      <c r="L104" s="31"/>
      <c r="M104" s="31"/>
      <c r="N104" s="31"/>
      <c r="O104" s="31"/>
      <c r="P104" s="31"/>
    </row>
    <row r="105" spans="1:16" hidden="1" x14ac:dyDescent="0.25">
      <c r="A105" s="31"/>
      <c r="B105" s="31"/>
      <c r="C105" s="31"/>
      <c r="D105" s="31"/>
      <c r="E105" s="31"/>
      <c r="F105" s="31"/>
      <c r="G105" s="31"/>
      <c r="H105" s="31"/>
      <c r="I105" s="31"/>
      <c r="J105" s="31"/>
      <c r="K105" s="31"/>
      <c r="L105" s="31"/>
      <c r="M105" s="31"/>
      <c r="N105" s="31"/>
      <c r="O105" s="31"/>
      <c r="P105" s="31"/>
    </row>
    <row r="106" spans="1:16" hidden="1" x14ac:dyDescent="0.25">
      <c r="A106" s="31"/>
      <c r="B106" s="31"/>
      <c r="C106" s="31"/>
      <c r="D106" s="31"/>
      <c r="E106" s="31"/>
      <c r="F106" s="31"/>
      <c r="G106" s="31"/>
      <c r="H106" s="31"/>
      <c r="I106" s="31"/>
      <c r="J106" s="31"/>
      <c r="K106" s="31"/>
      <c r="L106" s="31"/>
      <c r="M106" s="31"/>
      <c r="N106" s="31"/>
      <c r="O106" s="31"/>
      <c r="P106" s="31"/>
    </row>
    <row r="107" spans="1:16" hidden="1" x14ac:dyDescent="0.25">
      <c r="A107" s="31"/>
      <c r="B107" s="31"/>
      <c r="C107" s="31"/>
      <c r="D107" s="31"/>
      <c r="E107" s="31"/>
      <c r="F107" s="31"/>
      <c r="G107" s="31"/>
      <c r="H107" s="31"/>
      <c r="I107" s="31"/>
      <c r="J107" s="31"/>
      <c r="K107" s="31"/>
      <c r="L107" s="31"/>
      <c r="M107" s="31"/>
      <c r="N107" s="31"/>
      <c r="O107" s="31"/>
      <c r="P107" s="31"/>
    </row>
    <row r="108" spans="1:16" hidden="1" x14ac:dyDescent="0.25">
      <c r="A108" s="31"/>
      <c r="B108" s="31"/>
      <c r="C108" s="31"/>
      <c r="D108" s="31"/>
      <c r="E108" s="31"/>
      <c r="F108" s="31"/>
      <c r="G108" s="31"/>
      <c r="H108" s="31"/>
      <c r="I108" s="31"/>
      <c r="J108" s="31"/>
      <c r="K108" s="31"/>
      <c r="L108" s="31"/>
      <c r="M108" s="31"/>
      <c r="N108" s="31"/>
      <c r="O108" s="31"/>
      <c r="P108" s="31"/>
    </row>
    <row r="109" spans="1:16" hidden="1" x14ac:dyDescent="0.25">
      <c r="A109" s="31"/>
      <c r="B109" s="31"/>
      <c r="C109" s="31"/>
      <c r="D109" s="31"/>
      <c r="E109" s="31"/>
      <c r="F109" s="31"/>
      <c r="G109" s="31"/>
      <c r="H109" s="31"/>
      <c r="I109" s="31"/>
      <c r="J109" s="31"/>
      <c r="K109" s="31"/>
      <c r="L109" s="31"/>
      <c r="M109" s="31"/>
      <c r="N109" s="31"/>
      <c r="O109" s="31"/>
      <c r="P109" s="31"/>
    </row>
    <row r="110" spans="1:16" hidden="1" x14ac:dyDescent="0.25">
      <c r="A110" s="31"/>
      <c r="B110" s="31"/>
      <c r="C110" s="31"/>
      <c r="D110" s="31"/>
      <c r="E110" s="31"/>
      <c r="F110" s="31"/>
      <c r="G110" s="31"/>
      <c r="H110" s="31"/>
      <c r="I110" s="31"/>
      <c r="J110" s="31"/>
      <c r="K110" s="31"/>
      <c r="L110" s="31"/>
      <c r="M110" s="31"/>
      <c r="N110" s="31"/>
      <c r="O110" s="31"/>
      <c r="P110" s="31"/>
    </row>
    <row r="111" spans="1:16" hidden="1" x14ac:dyDescent="0.25">
      <c r="A111" s="31"/>
      <c r="B111" s="31"/>
      <c r="C111" s="31"/>
      <c r="D111" s="31"/>
      <c r="E111" s="31"/>
      <c r="F111" s="31"/>
      <c r="G111" s="31"/>
      <c r="H111" s="31"/>
      <c r="I111" s="31"/>
      <c r="J111" s="31"/>
      <c r="K111" s="31"/>
      <c r="L111" s="31"/>
      <c r="M111" s="31"/>
      <c r="N111" s="31"/>
      <c r="O111" s="31"/>
      <c r="P111" s="31"/>
    </row>
    <row r="112" spans="1:16" hidden="1" x14ac:dyDescent="0.25">
      <c r="A112" s="31"/>
      <c r="B112" s="31"/>
      <c r="C112" s="31"/>
      <c r="D112" s="31"/>
      <c r="E112" s="31"/>
      <c r="F112" s="31"/>
      <c r="G112" s="31"/>
      <c r="H112" s="31"/>
      <c r="I112" s="31"/>
      <c r="J112" s="31"/>
      <c r="K112" s="31"/>
      <c r="L112" s="31"/>
      <c r="M112" s="31"/>
      <c r="N112" s="31"/>
      <c r="O112" s="31"/>
      <c r="P112" s="31"/>
    </row>
    <row r="113" spans="1:16" hidden="1" x14ac:dyDescent="0.25">
      <c r="A113" s="31"/>
      <c r="B113" s="31"/>
      <c r="C113" s="31"/>
      <c r="D113" s="31"/>
      <c r="E113" s="31"/>
      <c r="F113" s="31"/>
      <c r="G113" s="31"/>
      <c r="H113" s="31"/>
      <c r="I113" s="31"/>
      <c r="J113" s="31"/>
      <c r="K113" s="31"/>
      <c r="L113" s="31"/>
      <c r="M113" s="31"/>
      <c r="N113" s="31"/>
      <c r="O113" s="31"/>
      <c r="P113" s="31"/>
    </row>
    <row r="114" spans="1:16" hidden="1" x14ac:dyDescent="0.25">
      <c r="A114" s="31"/>
      <c r="B114" s="31"/>
      <c r="C114" s="31"/>
      <c r="D114" s="31"/>
      <c r="E114" s="31"/>
      <c r="F114" s="31"/>
      <c r="G114" s="31"/>
      <c r="H114" s="31"/>
      <c r="I114" s="31"/>
      <c r="J114" s="31"/>
      <c r="K114" s="31"/>
      <c r="L114" s="31"/>
      <c r="M114" s="31"/>
      <c r="N114" s="31"/>
      <c r="O114" s="31"/>
      <c r="P114" s="31"/>
    </row>
    <row r="115" spans="1:16" hidden="1" x14ac:dyDescent="0.25">
      <c r="A115" s="31"/>
      <c r="B115" s="31"/>
      <c r="C115" s="31"/>
      <c r="D115" s="31"/>
      <c r="E115" s="31"/>
      <c r="F115" s="31"/>
      <c r="G115" s="31"/>
      <c r="H115" s="31"/>
      <c r="I115" s="31"/>
      <c r="J115" s="31"/>
      <c r="K115" s="31"/>
      <c r="L115" s="31"/>
      <c r="M115" s="31"/>
      <c r="N115" s="31"/>
      <c r="O115" s="31"/>
      <c r="P115" s="31"/>
    </row>
    <row r="116" spans="1:16" hidden="1" x14ac:dyDescent="0.25">
      <c r="A116" s="31"/>
      <c r="B116" s="31"/>
      <c r="C116" s="31"/>
      <c r="D116" s="31"/>
      <c r="E116" s="31"/>
      <c r="F116" s="31"/>
      <c r="G116" s="31"/>
      <c r="H116" s="31"/>
      <c r="I116" s="31"/>
      <c r="J116" s="31"/>
      <c r="K116" s="31"/>
      <c r="L116" s="31"/>
      <c r="M116" s="31"/>
      <c r="N116" s="31"/>
      <c r="O116" s="31"/>
      <c r="P116" s="31"/>
    </row>
    <row r="117" spans="1:16" hidden="1" x14ac:dyDescent="0.25">
      <c r="A117" s="31"/>
      <c r="B117" s="31"/>
      <c r="C117" s="31"/>
      <c r="D117" s="31"/>
      <c r="E117" s="31"/>
      <c r="F117" s="31"/>
      <c r="G117" s="31"/>
      <c r="H117" s="31"/>
      <c r="I117" s="31"/>
      <c r="J117" s="31"/>
      <c r="K117" s="31"/>
      <c r="L117" s="31"/>
      <c r="M117" s="31"/>
      <c r="N117" s="31"/>
      <c r="O117" s="31"/>
      <c r="P117" s="31"/>
    </row>
    <row r="118" spans="1:16" hidden="1" x14ac:dyDescent="0.25">
      <c r="A118" s="31"/>
      <c r="B118" s="31"/>
      <c r="C118" s="31"/>
      <c r="D118" s="31"/>
      <c r="E118" s="31"/>
      <c r="F118" s="31"/>
      <c r="G118" s="31"/>
      <c r="H118" s="31"/>
      <c r="I118" s="31"/>
      <c r="J118" s="31"/>
      <c r="K118" s="31"/>
      <c r="L118" s="31"/>
      <c r="M118" s="31"/>
      <c r="N118" s="31"/>
      <c r="O118" s="31"/>
      <c r="P118" s="31"/>
    </row>
    <row r="119" spans="1:16" hidden="1" x14ac:dyDescent="0.25">
      <c r="A119" s="31"/>
      <c r="B119" s="31"/>
      <c r="C119" s="31"/>
      <c r="D119" s="31"/>
      <c r="E119" s="31"/>
      <c r="F119" s="31"/>
      <c r="G119" s="31"/>
      <c r="H119" s="31"/>
      <c r="I119" s="31"/>
      <c r="J119" s="31"/>
      <c r="K119" s="31"/>
      <c r="L119" s="31"/>
      <c r="M119" s="31"/>
      <c r="N119" s="31"/>
      <c r="O119" s="31"/>
      <c r="P119" s="31"/>
    </row>
    <row r="120" spans="1:16" hidden="1" x14ac:dyDescent="0.25">
      <c r="A120" s="31"/>
      <c r="B120" s="31"/>
      <c r="C120" s="31"/>
      <c r="D120" s="31"/>
      <c r="E120" s="31"/>
      <c r="F120" s="31"/>
      <c r="G120" s="31"/>
      <c r="H120" s="31"/>
      <c r="I120" s="31"/>
      <c r="J120" s="31"/>
      <c r="K120" s="31"/>
      <c r="L120" s="31"/>
      <c r="M120" s="31"/>
      <c r="N120" s="31"/>
      <c r="O120" s="31"/>
      <c r="P120" s="31"/>
    </row>
    <row r="121" spans="1:16" hidden="1" x14ac:dyDescent="0.25">
      <c r="A121" s="31"/>
      <c r="B121" s="31"/>
      <c r="C121" s="31"/>
      <c r="D121" s="31"/>
      <c r="E121" s="31"/>
      <c r="F121" s="31"/>
      <c r="G121" s="31"/>
      <c r="H121" s="31"/>
      <c r="I121" s="31"/>
      <c r="J121" s="31"/>
      <c r="K121" s="31"/>
      <c r="L121" s="31"/>
      <c r="M121" s="31"/>
      <c r="N121" s="31"/>
      <c r="O121" s="31"/>
      <c r="P121" s="31"/>
    </row>
    <row r="122" spans="1:16" hidden="1" x14ac:dyDescent="0.25">
      <c r="A122" s="31"/>
      <c r="B122" s="31"/>
      <c r="C122" s="31"/>
      <c r="D122" s="31"/>
      <c r="E122" s="31"/>
      <c r="F122" s="31"/>
      <c r="G122" s="31"/>
      <c r="H122" s="31"/>
      <c r="I122" s="31"/>
      <c r="J122" s="31"/>
      <c r="K122" s="31"/>
      <c r="L122" s="31"/>
      <c r="M122" s="31"/>
      <c r="N122" s="31"/>
      <c r="O122" s="31"/>
      <c r="P122" s="31"/>
    </row>
    <row r="123" spans="1:16" hidden="1" x14ac:dyDescent="0.25">
      <c r="A123" s="31"/>
      <c r="B123" s="31"/>
      <c r="C123" s="31"/>
      <c r="D123" s="31"/>
      <c r="E123" s="31"/>
      <c r="F123" s="31"/>
      <c r="G123" s="31"/>
      <c r="H123" s="31"/>
      <c r="I123" s="31"/>
      <c r="J123" s="31"/>
      <c r="K123" s="31"/>
      <c r="L123" s="31"/>
      <c r="M123" s="31"/>
      <c r="N123" s="31"/>
      <c r="O123" s="31"/>
      <c r="P123" s="31"/>
    </row>
    <row r="124" spans="1:16" hidden="1" x14ac:dyDescent="0.25">
      <c r="A124" s="31"/>
      <c r="B124" s="31"/>
      <c r="C124" s="31"/>
      <c r="D124" s="31"/>
      <c r="E124" s="31"/>
      <c r="F124" s="31"/>
      <c r="G124" s="31"/>
      <c r="H124" s="31"/>
      <c r="I124" s="31"/>
      <c r="J124" s="31"/>
      <c r="K124" s="31"/>
      <c r="L124" s="31"/>
      <c r="M124" s="31"/>
      <c r="N124" s="31"/>
      <c r="O124" s="31"/>
      <c r="P124" s="31"/>
    </row>
    <row r="125" spans="1:16" hidden="1" x14ac:dyDescent="0.25">
      <c r="A125" s="31"/>
      <c r="B125" s="31"/>
      <c r="C125" s="31"/>
      <c r="D125" s="31"/>
      <c r="E125" s="31"/>
      <c r="F125" s="31"/>
      <c r="G125" s="31"/>
      <c r="H125" s="31"/>
      <c r="I125" s="31"/>
      <c r="J125" s="31"/>
      <c r="K125" s="31"/>
      <c r="L125" s="31"/>
      <c r="M125" s="31"/>
      <c r="N125" s="31"/>
      <c r="O125" s="31"/>
      <c r="P125" s="31"/>
    </row>
    <row r="126" spans="1:16" hidden="1" x14ac:dyDescent="0.25">
      <c r="A126" s="31"/>
      <c r="B126" s="31"/>
      <c r="C126" s="31"/>
      <c r="D126" s="31"/>
      <c r="E126" s="31"/>
      <c r="F126" s="31"/>
      <c r="G126" s="31"/>
      <c r="H126" s="31"/>
      <c r="I126" s="31"/>
      <c r="J126" s="31"/>
      <c r="K126" s="31"/>
      <c r="L126" s="31"/>
      <c r="M126" s="31"/>
      <c r="N126" s="31"/>
      <c r="O126" s="31"/>
      <c r="P126" s="31"/>
    </row>
    <row r="127" spans="1:16" hidden="1" x14ac:dyDescent="0.25">
      <c r="A127" s="31"/>
      <c r="B127" s="31"/>
      <c r="C127" s="31"/>
      <c r="D127" s="31"/>
      <c r="E127" s="31"/>
      <c r="F127" s="31"/>
      <c r="G127" s="31"/>
      <c r="H127" s="31"/>
      <c r="I127" s="31"/>
      <c r="J127" s="31"/>
      <c r="K127" s="31"/>
      <c r="L127" s="31"/>
      <c r="M127" s="31"/>
      <c r="N127" s="31"/>
      <c r="O127" s="31"/>
      <c r="P127" s="31"/>
    </row>
    <row r="128" spans="1:16" hidden="1" x14ac:dyDescent="0.25">
      <c r="A128" s="31"/>
      <c r="B128" s="31"/>
      <c r="C128" s="31"/>
      <c r="D128" s="31"/>
      <c r="E128" s="31"/>
      <c r="F128" s="31"/>
      <c r="G128" s="31"/>
      <c r="H128" s="31"/>
      <c r="I128" s="31"/>
      <c r="J128" s="31"/>
      <c r="K128" s="31"/>
      <c r="L128" s="31"/>
      <c r="M128" s="31"/>
      <c r="N128" s="31"/>
      <c r="O128" s="31"/>
      <c r="P128" s="31"/>
    </row>
    <row r="129" spans="1:16" hidden="1" x14ac:dyDescent="0.25">
      <c r="A129" s="31"/>
      <c r="B129" s="31"/>
      <c r="C129" s="31"/>
      <c r="D129" s="31"/>
      <c r="E129" s="31"/>
      <c r="F129" s="31"/>
      <c r="G129" s="31"/>
      <c r="H129" s="31"/>
      <c r="I129" s="31"/>
      <c r="J129" s="31"/>
      <c r="K129" s="31"/>
      <c r="L129" s="31"/>
      <c r="M129" s="31"/>
      <c r="N129" s="31"/>
      <c r="O129" s="31"/>
      <c r="P129" s="31"/>
    </row>
    <row r="130" spans="1:16" hidden="1" x14ac:dyDescent="0.25">
      <c r="A130" s="31"/>
      <c r="B130" s="31"/>
      <c r="C130" s="31"/>
      <c r="D130" s="31"/>
      <c r="E130" s="31"/>
      <c r="F130" s="31"/>
      <c r="G130" s="31"/>
      <c r="H130" s="31"/>
      <c r="I130" s="31"/>
      <c r="J130" s="31"/>
      <c r="K130" s="31"/>
      <c r="L130" s="31"/>
      <c r="M130" s="31"/>
      <c r="N130" s="31"/>
      <c r="O130" s="31"/>
      <c r="P130" s="31"/>
    </row>
    <row r="131" spans="1:16" hidden="1" x14ac:dyDescent="0.25">
      <c r="A131" s="31"/>
      <c r="B131" s="31"/>
      <c r="C131" s="31"/>
      <c r="D131" s="31"/>
      <c r="E131" s="31"/>
      <c r="F131" s="31"/>
      <c r="G131" s="31"/>
      <c r="H131" s="31"/>
      <c r="I131" s="31"/>
      <c r="J131" s="31"/>
      <c r="K131" s="31"/>
      <c r="L131" s="31"/>
      <c r="M131" s="31"/>
      <c r="N131" s="31"/>
      <c r="O131" s="31"/>
      <c r="P131" s="31"/>
    </row>
    <row r="132" spans="1:16" hidden="1" x14ac:dyDescent="0.25">
      <c r="A132" s="31"/>
      <c r="B132" s="31"/>
      <c r="C132" s="31"/>
      <c r="D132" s="31"/>
      <c r="E132" s="31"/>
      <c r="F132" s="31"/>
      <c r="G132" s="31"/>
      <c r="H132" s="31"/>
      <c r="I132" s="31"/>
      <c r="J132" s="31"/>
      <c r="K132" s="31"/>
      <c r="L132" s="31"/>
      <c r="M132" s="31"/>
      <c r="N132" s="31"/>
      <c r="O132" s="31"/>
      <c r="P132" s="31"/>
    </row>
    <row r="133" spans="1:16" hidden="1" x14ac:dyDescent="0.25">
      <c r="A133" s="31"/>
      <c r="B133" s="31"/>
      <c r="C133" s="31"/>
      <c r="D133" s="31"/>
      <c r="E133" s="31"/>
      <c r="F133" s="31"/>
      <c r="G133" s="31"/>
      <c r="H133" s="31"/>
      <c r="I133" s="31"/>
      <c r="J133" s="31"/>
      <c r="K133" s="31"/>
      <c r="L133" s="31"/>
      <c r="M133" s="31"/>
      <c r="N133" s="31"/>
      <c r="O133" s="31"/>
      <c r="P133" s="31"/>
    </row>
    <row r="134" spans="1:16" hidden="1" x14ac:dyDescent="0.25">
      <c r="A134" s="31"/>
      <c r="B134" s="31"/>
      <c r="C134" s="31"/>
      <c r="D134" s="31"/>
      <c r="E134" s="31"/>
      <c r="F134" s="31"/>
      <c r="G134" s="31"/>
      <c r="H134" s="31"/>
      <c r="I134" s="31"/>
      <c r="J134" s="31"/>
      <c r="K134" s="31"/>
      <c r="L134" s="31"/>
      <c r="M134" s="31"/>
      <c r="N134" s="31"/>
      <c r="O134" s="31"/>
      <c r="P134" s="31"/>
    </row>
    <row r="135" spans="1:16" hidden="1" x14ac:dyDescent="0.25">
      <c r="A135" s="31"/>
      <c r="B135" s="31"/>
      <c r="C135" s="31"/>
      <c r="D135" s="31"/>
      <c r="E135" s="31"/>
      <c r="F135" s="31"/>
      <c r="G135" s="31"/>
      <c r="H135" s="31"/>
      <c r="I135" s="31"/>
      <c r="J135" s="31"/>
      <c r="K135" s="31"/>
      <c r="L135" s="31"/>
      <c r="M135" s="31"/>
      <c r="N135" s="31"/>
      <c r="O135" s="31"/>
      <c r="P135" s="31"/>
    </row>
    <row r="136" spans="1:16" hidden="1" x14ac:dyDescent="0.25">
      <c r="A136" s="31"/>
      <c r="B136" s="31"/>
      <c r="C136" s="31"/>
      <c r="D136" s="31"/>
      <c r="E136" s="31"/>
      <c r="F136" s="31"/>
      <c r="G136" s="31"/>
      <c r="H136" s="31"/>
      <c r="I136" s="31"/>
      <c r="J136" s="31"/>
      <c r="K136" s="31"/>
      <c r="L136" s="31"/>
      <c r="M136" s="31"/>
      <c r="N136" s="31"/>
      <c r="O136" s="31"/>
      <c r="P136" s="31"/>
    </row>
    <row r="137" spans="1:16" hidden="1" x14ac:dyDescent="0.25">
      <c r="A137" s="31"/>
      <c r="B137" s="31"/>
      <c r="C137" s="31"/>
      <c r="D137" s="31"/>
      <c r="E137" s="31"/>
      <c r="F137" s="31"/>
      <c r="G137" s="31"/>
      <c r="H137" s="31"/>
      <c r="I137" s="31"/>
      <c r="J137" s="31"/>
      <c r="K137" s="31"/>
      <c r="L137" s="31"/>
      <c r="M137" s="31"/>
      <c r="N137" s="31"/>
      <c r="O137" s="31"/>
      <c r="P137" s="31"/>
    </row>
    <row r="138" spans="1:16" hidden="1" x14ac:dyDescent="0.25">
      <c r="A138" s="31"/>
      <c r="B138" s="31"/>
      <c r="C138" s="31"/>
      <c r="D138" s="31"/>
      <c r="E138" s="31"/>
      <c r="F138" s="31"/>
      <c r="G138" s="31"/>
      <c r="H138" s="31"/>
      <c r="I138" s="31"/>
      <c r="J138" s="31"/>
      <c r="K138" s="31"/>
      <c r="L138" s="31"/>
      <c r="M138" s="31"/>
      <c r="N138" s="31"/>
      <c r="O138" s="31"/>
      <c r="P138" s="31"/>
    </row>
    <row r="139" spans="1:16" hidden="1" x14ac:dyDescent="0.25">
      <c r="A139" s="31"/>
      <c r="B139" s="31"/>
      <c r="C139" s="31"/>
      <c r="D139" s="31"/>
      <c r="E139" s="31"/>
      <c r="F139" s="31"/>
      <c r="G139" s="31"/>
      <c r="H139" s="31"/>
      <c r="I139" s="31"/>
      <c r="J139" s="31"/>
      <c r="K139" s="31"/>
      <c r="L139" s="31"/>
      <c r="M139" s="31"/>
      <c r="N139" s="31"/>
      <c r="O139" s="31"/>
      <c r="P139" s="31"/>
    </row>
    <row r="140" spans="1:16" hidden="1" x14ac:dyDescent="0.25">
      <c r="A140" s="31"/>
      <c r="B140" s="31"/>
      <c r="C140" s="31"/>
      <c r="D140" s="31"/>
      <c r="E140" s="31"/>
      <c r="F140" s="31"/>
      <c r="G140" s="31"/>
      <c r="H140" s="31"/>
      <c r="I140" s="31"/>
      <c r="J140" s="31"/>
      <c r="K140" s="31"/>
      <c r="L140" s="31"/>
      <c r="M140" s="31"/>
      <c r="N140" s="31"/>
      <c r="O140" s="31"/>
      <c r="P140" s="31"/>
    </row>
    <row r="141" spans="1:16" hidden="1" x14ac:dyDescent="0.25">
      <c r="A141" s="31"/>
      <c r="B141" s="31"/>
      <c r="C141" s="31"/>
      <c r="D141" s="31"/>
      <c r="E141" s="31"/>
      <c r="F141" s="31"/>
      <c r="G141" s="31"/>
      <c r="H141" s="31"/>
      <c r="I141" s="31"/>
      <c r="J141" s="31"/>
      <c r="K141" s="31"/>
      <c r="L141" s="31"/>
      <c r="M141" s="31"/>
      <c r="N141" s="31"/>
      <c r="O141" s="31"/>
      <c r="P141" s="31"/>
    </row>
    <row r="142" spans="1:16" hidden="1" x14ac:dyDescent="0.25">
      <c r="A142" s="31"/>
      <c r="B142" s="31"/>
      <c r="C142" s="31"/>
      <c r="D142" s="31"/>
      <c r="E142" s="31"/>
      <c r="F142" s="31"/>
      <c r="G142" s="31"/>
      <c r="H142" s="31"/>
      <c r="I142" s="31"/>
      <c r="J142" s="31"/>
      <c r="K142" s="31"/>
      <c r="L142" s="31"/>
      <c r="M142" s="31"/>
      <c r="N142" s="31"/>
      <c r="O142" s="31"/>
      <c r="P142" s="31"/>
    </row>
    <row r="143" spans="1:16" hidden="1" x14ac:dyDescent="0.25">
      <c r="A143" s="31"/>
      <c r="B143" s="31"/>
      <c r="C143" s="31"/>
      <c r="D143" s="31"/>
      <c r="E143" s="31"/>
      <c r="F143" s="31"/>
      <c r="G143" s="31"/>
      <c r="H143" s="31"/>
      <c r="I143" s="31"/>
      <c r="J143" s="31"/>
      <c r="K143" s="31"/>
      <c r="L143" s="31"/>
      <c r="M143" s="31"/>
      <c r="N143" s="31"/>
      <c r="O143" s="31"/>
      <c r="P143" s="31"/>
    </row>
    <row r="144" spans="1:16" hidden="1" x14ac:dyDescent="0.25">
      <c r="A144" s="31"/>
      <c r="B144" s="31"/>
      <c r="C144" s="31"/>
      <c r="D144" s="31"/>
      <c r="E144" s="31"/>
      <c r="F144" s="31"/>
      <c r="G144" s="31"/>
      <c r="H144" s="31"/>
      <c r="I144" s="31"/>
      <c r="J144" s="31"/>
      <c r="K144" s="31"/>
      <c r="L144" s="31"/>
      <c r="M144" s="31"/>
      <c r="N144" s="31"/>
      <c r="O144" s="31"/>
      <c r="P144" s="31"/>
    </row>
    <row r="145" spans="1:16" hidden="1" x14ac:dyDescent="0.25">
      <c r="A145" s="31"/>
      <c r="B145" s="31"/>
      <c r="C145" s="31"/>
      <c r="D145" s="31"/>
      <c r="E145" s="31"/>
      <c r="F145" s="31"/>
      <c r="G145" s="31"/>
      <c r="H145" s="31"/>
      <c r="I145" s="31"/>
      <c r="J145" s="31"/>
      <c r="K145" s="31"/>
      <c r="L145" s="31"/>
      <c r="M145" s="31"/>
      <c r="N145" s="31"/>
      <c r="O145" s="31"/>
      <c r="P145" s="31"/>
    </row>
    <row r="146" spans="1:16" hidden="1" x14ac:dyDescent="0.25">
      <c r="A146" s="31"/>
      <c r="B146" s="31"/>
      <c r="C146" s="31"/>
      <c r="D146" s="31"/>
      <c r="E146" s="31"/>
      <c r="F146" s="31"/>
      <c r="G146" s="31"/>
      <c r="H146" s="31"/>
      <c r="I146" s="31"/>
      <c r="J146" s="31"/>
      <c r="K146" s="31"/>
      <c r="L146" s="31"/>
      <c r="M146" s="31"/>
      <c r="N146" s="31"/>
      <c r="O146" s="31"/>
      <c r="P146" s="31"/>
    </row>
    <row r="147" spans="1:16" hidden="1" x14ac:dyDescent="0.25">
      <c r="A147" s="31"/>
      <c r="B147" s="31"/>
      <c r="C147" s="31"/>
      <c r="D147" s="31"/>
      <c r="E147" s="31"/>
      <c r="F147" s="31"/>
      <c r="G147" s="31"/>
      <c r="H147" s="31"/>
      <c r="I147" s="31"/>
      <c r="J147" s="31"/>
      <c r="K147" s="31"/>
      <c r="L147" s="31"/>
      <c r="M147" s="31"/>
      <c r="N147" s="31"/>
      <c r="O147" s="31"/>
      <c r="P147" s="31"/>
    </row>
    <row r="148" spans="1:16" hidden="1" x14ac:dyDescent="0.25">
      <c r="A148" s="31"/>
      <c r="B148" s="31"/>
      <c r="C148" s="31"/>
      <c r="D148" s="31"/>
      <c r="E148" s="31"/>
      <c r="F148" s="31"/>
      <c r="G148" s="31"/>
      <c r="H148" s="31"/>
      <c r="I148" s="31"/>
      <c r="J148" s="31"/>
      <c r="K148" s="31"/>
      <c r="L148" s="31"/>
      <c r="M148" s="31"/>
      <c r="N148" s="31"/>
      <c r="O148" s="31"/>
      <c r="P148" s="31"/>
    </row>
    <row r="149" spans="1:16" hidden="1" x14ac:dyDescent="0.25">
      <c r="A149" s="31"/>
      <c r="B149" s="31"/>
      <c r="C149" s="31"/>
      <c r="D149" s="31"/>
      <c r="E149" s="31"/>
      <c r="F149" s="31"/>
      <c r="G149" s="31"/>
      <c r="H149" s="31"/>
      <c r="I149" s="31"/>
      <c r="J149" s="31"/>
      <c r="K149" s="31"/>
      <c r="L149" s="31"/>
      <c r="M149" s="31"/>
      <c r="N149" s="31"/>
      <c r="O149" s="31"/>
      <c r="P149" s="31"/>
    </row>
    <row r="150" spans="1:16" hidden="1" x14ac:dyDescent="0.25">
      <c r="A150" s="31"/>
      <c r="B150" s="31"/>
      <c r="C150" s="31"/>
      <c r="D150" s="31"/>
      <c r="E150" s="31"/>
      <c r="F150" s="31"/>
      <c r="G150" s="31"/>
      <c r="H150" s="31"/>
      <c r="I150" s="31"/>
      <c r="J150" s="31"/>
      <c r="K150" s="31"/>
      <c r="L150" s="31"/>
      <c r="M150" s="31"/>
      <c r="N150" s="31"/>
      <c r="O150" s="31"/>
      <c r="P150" s="31"/>
    </row>
    <row r="151" spans="1:16" hidden="1" x14ac:dyDescent="0.25">
      <c r="A151" s="31"/>
      <c r="B151" s="31"/>
      <c r="C151" s="31"/>
      <c r="D151" s="31"/>
      <c r="E151" s="31"/>
      <c r="F151" s="31"/>
      <c r="G151" s="31"/>
      <c r="H151" s="31"/>
      <c r="I151" s="31"/>
      <c r="J151" s="31"/>
      <c r="K151" s="31"/>
      <c r="L151" s="31"/>
      <c r="M151" s="31"/>
      <c r="N151" s="31"/>
      <c r="O151" s="31"/>
      <c r="P151" s="31"/>
    </row>
    <row r="152" spans="1:16" hidden="1" x14ac:dyDescent="0.25">
      <c r="A152" s="31"/>
      <c r="B152" s="31"/>
      <c r="C152" s="31"/>
      <c r="D152" s="31"/>
      <c r="E152" s="31"/>
      <c r="F152" s="31"/>
      <c r="G152" s="31"/>
      <c r="H152" s="31"/>
      <c r="I152" s="31"/>
      <c r="J152" s="31"/>
      <c r="K152" s="31"/>
      <c r="L152" s="31"/>
      <c r="M152" s="31"/>
      <c r="N152" s="31"/>
      <c r="O152" s="31"/>
      <c r="P152" s="31"/>
    </row>
    <row r="153" spans="1:16" hidden="1" x14ac:dyDescent="0.25">
      <c r="A153" s="31"/>
      <c r="B153" s="31"/>
      <c r="C153" s="31"/>
      <c r="D153" s="31"/>
      <c r="E153" s="31"/>
      <c r="F153" s="31"/>
      <c r="G153" s="31"/>
      <c r="H153" s="31"/>
      <c r="I153" s="31"/>
      <c r="J153" s="31"/>
      <c r="K153" s="31"/>
      <c r="L153" s="31"/>
      <c r="M153" s="31"/>
      <c r="N153" s="31"/>
      <c r="O153" s="31"/>
      <c r="P153" s="31"/>
    </row>
    <row r="154" spans="1:16" hidden="1" x14ac:dyDescent="0.25">
      <c r="A154" s="31"/>
      <c r="B154" s="31"/>
      <c r="C154" s="31"/>
      <c r="D154" s="31"/>
      <c r="E154" s="31"/>
      <c r="F154" s="31"/>
      <c r="G154" s="31"/>
      <c r="H154" s="31"/>
      <c r="I154" s="31"/>
      <c r="J154" s="31"/>
      <c r="K154" s="31"/>
      <c r="L154" s="31"/>
      <c r="M154" s="31"/>
      <c r="N154" s="31"/>
      <c r="O154" s="31"/>
      <c r="P154" s="31"/>
    </row>
    <row r="155" spans="1:16" hidden="1" x14ac:dyDescent="0.25">
      <c r="A155" s="31"/>
      <c r="B155" s="31"/>
      <c r="C155" s="31"/>
      <c r="D155" s="31"/>
      <c r="E155" s="31"/>
      <c r="F155" s="31"/>
      <c r="G155" s="31"/>
      <c r="H155" s="31"/>
      <c r="I155" s="31"/>
      <c r="J155" s="31"/>
      <c r="K155" s="31"/>
      <c r="L155" s="31"/>
      <c r="M155" s="31"/>
      <c r="N155" s="31"/>
      <c r="O155" s="31"/>
      <c r="P155" s="31"/>
    </row>
    <row r="156" spans="1:16" hidden="1" x14ac:dyDescent="0.25">
      <c r="A156" s="31"/>
      <c r="B156" s="31"/>
      <c r="C156" s="31"/>
      <c r="D156" s="31"/>
      <c r="E156" s="31"/>
      <c r="F156" s="31"/>
      <c r="G156" s="31"/>
      <c r="H156" s="31"/>
      <c r="I156" s="31"/>
      <c r="J156" s="31"/>
      <c r="K156" s="31"/>
      <c r="L156" s="31"/>
      <c r="M156" s="31"/>
      <c r="N156" s="31"/>
      <c r="O156" s="31"/>
      <c r="P156" s="31"/>
    </row>
    <row r="157" spans="1:16" hidden="1" x14ac:dyDescent="0.25">
      <c r="A157" s="31"/>
      <c r="B157" s="31"/>
      <c r="C157" s="31"/>
      <c r="D157" s="31"/>
      <c r="E157" s="31"/>
      <c r="F157" s="31"/>
      <c r="G157" s="31"/>
      <c r="H157" s="31"/>
      <c r="I157" s="31"/>
      <c r="J157" s="31"/>
      <c r="K157" s="31"/>
      <c r="L157" s="31"/>
      <c r="M157" s="31"/>
      <c r="N157" s="31"/>
      <c r="O157" s="31"/>
      <c r="P157" s="31"/>
    </row>
    <row r="158" spans="1:16" hidden="1" x14ac:dyDescent="0.25">
      <c r="A158" s="31"/>
      <c r="B158" s="31"/>
      <c r="C158" s="31"/>
      <c r="D158" s="31"/>
      <c r="E158" s="31"/>
      <c r="F158" s="31"/>
      <c r="G158" s="31"/>
      <c r="H158" s="31"/>
      <c r="I158" s="31"/>
      <c r="J158" s="31"/>
      <c r="K158" s="31"/>
      <c r="L158" s="31"/>
      <c r="M158" s="31"/>
      <c r="N158" s="31"/>
      <c r="O158" s="31"/>
      <c r="P158" s="31"/>
    </row>
    <row r="159" spans="1:16" hidden="1" x14ac:dyDescent="0.25">
      <c r="A159" s="31"/>
      <c r="B159" s="31"/>
      <c r="C159" s="31"/>
      <c r="D159" s="31"/>
      <c r="E159" s="31"/>
      <c r="F159" s="31"/>
      <c r="G159" s="31"/>
      <c r="H159" s="31"/>
      <c r="I159" s="31"/>
      <c r="J159" s="31"/>
      <c r="K159" s="31"/>
      <c r="L159" s="31"/>
      <c r="M159" s="31"/>
      <c r="N159" s="31"/>
      <c r="O159" s="31"/>
      <c r="P159" s="31"/>
    </row>
    <row r="160" spans="1:16" hidden="1" x14ac:dyDescent="0.25">
      <c r="A160" s="31"/>
      <c r="B160" s="31"/>
      <c r="C160" s="31"/>
      <c r="D160" s="31"/>
      <c r="E160" s="31"/>
      <c r="F160" s="31"/>
      <c r="G160" s="31"/>
      <c r="H160" s="31"/>
      <c r="I160" s="31"/>
      <c r="J160" s="31"/>
      <c r="K160" s="31"/>
      <c r="L160" s="31"/>
      <c r="M160" s="31"/>
      <c r="N160" s="31"/>
      <c r="O160" s="31"/>
      <c r="P160" s="31"/>
    </row>
    <row r="161" spans="1:16" hidden="1" x14ac:dyDescent="0.25">
      <c r="A161" s="31"/>
      <c r="B161" s="31"/>
      <c r="C161" s="31"/>
      <c r="D161" s="31"/>
      <c r="E161" s="31"/>
      <c r="F161" s="31"/>
      <c r="G161" s="31"/>
      <c r="H161" s="31"/>
      <c r="I161" s="31"/>
      <c r="J161" s="31"/>
      <c r="K161" s="31"/>
      <c r="L161" s="31"/>
      <c r="M161" s="31"/>
      <c r="N161" s="31"/>
      <c r="O161" s="31"/>
      <c r="P161" s="31"/>
    </row>
    <row r="162" spans="1:16" hidden="1" x14ac:dyDescent="0.25">
      <c r="A162" s="31"/>
      <c r="B162" s="31"/>
      <c r="C162" s="31"/>
      <c r="D162" s="31"/>
      <c r="E162" s="31"/>
      <c r="F162" s="31"/>
      <c r="G162" s="31"/>
      <c r="H162" s="31"/>
      <c r="I162" s="31"/>
      <c r="J162" s="31"/>
      <c r="K162" s="31"/>
      <c r="L162" s="31"/>
      <c r="M162" s="31"/>
      <c r="N162" s="31"/>
      <c r="O162" s="31"/>
      <c r="P162" s="31"/>
    </row>
    <row r="163" spans="1:16" hidden="1" x14ac:dyDescent="0.25">
      <c r="A163" s="31"/>
      <c r="B163" s="31"/>
      <c r="C163" s="31"/>
      <c r="D163" s="31"/>
      <c r="E163" s="31"/>
      <c r="F163" s="31"/>
      <c r="G163" s="31"/>
      <c r="H163" s="31"/>
      <c r="I163" s="31"/>
      <c r="J163" s="31"/>
      <c r="K163" s="31"/>
      <c r="L163" s="31"/>
      <c r="M163" s="31"/>
      <c r="N163" s="31"/>
      <c r="O163" s="31"/>
      <c r="P163" s="31"/>
    </row>
    <row r="164" spans="1:16" hidden="1" x14ac:dyDescent="0.25">
      <c r="A164" s="31"/>
      <c r="B164" s="31"/>
      <c r="C164" s="31"/>
      <c r="D164" s="31"/>
      <c r="E164" s="31"/>
      <c r="F164" s="31"/>
      <c r="G164" s="31"/>
      <c r="H164" s="31"/>
      <c r="I164" s="31"/>
      <c r="J164" s="31"/>
      <c r="K164" s="31"/>
      <c r="L164" s="31"/>
      <c r="M164" s="31"/>
      <c r="N164" s="31"/>
      <c r="O164" s="31"/>
      <c r="P164" s="31"/>
    </row>
    <row r="165" spans="1:16" hidden="1" x14ac:dyDescent="0.25">
      <c r="A165" s="31"/>
      <c r="B165" s="31"/>
      <c r="C165" s="31"/>
      <c r="D165" s="31"/>
      <c r="E165" s="31"/>
      <c r="F165" s="31"/>
      <c r="G165" s="31"/>
      <c r="H165" s="31"/>
      <c r="I165" s="31"/>
      <c r="J165" s="31"/>
      <c r="K165" s="31"/>
      <c r="L165" s="31"/>
      <c r="M165" s="31"/>
      <c r="N165" s="31"/>
      <c r="O165" s="31"/>
      <c r="P165" s="31"/>
    </row>
    <row r="166" spans="1:16" hidden="1" x14ac:dyDescent="0.25">
      <c r="A166" s="31"/>
      <c r="B166" s="31"/>
      <c r="C166" s="31"/>
      <c r="D166" s="31"/>
      <c r="E166" s="31"/>
      <c r="F166" s="31"/>
      <c r="G166" s="31"/>
      <c r="H166" s="31"/>
      <c r="I166" s="31"/>
      <c r="J166" s="31"/>
      <c r="K166" s="31"/>
      <c r="L166" s="31"/>
      <c r="M166" s="31"/>
      <c r="N166" s="31"/>
      <c r="O166" s="31"/>
      <c r="P166" s="31"/>
    </row>
    <row r="167" spans="1:16" hidden="1" x14ac:dyDescent="0.25">
      <c r="A167" s="31"/>
      <c r="B167" s="31"/>
      <c r="C167" s="31"/>
      <c r="D167" s="31"/>
      <c r="E167" s="31"/>
      <c r="F167" s="31"/>
      <c r="G167" s="31"/>
      <c r="H167" s="31"/>
      <c r="I167" s="31"/>
      <c r="J167" s="31"/>
      <c r="K167" s="31"/>
      <c r="L167" s="31"/>
      <c r="M167" s="31"/>
      <c r="N167" s="31"/>
      <c r="O167" s="31"/>
      <c r="P167" s="31"/>
    </row>
    <row r="168" spans="1:16" hidden="1" x14ac:dyDescent="0.25">
      <c r="A168" s="31"/>
      <c r="B168" s="31"/>
      <c r="C168" s="31"/>
      <c r="D168" s="31"/>
      <c r="E168" s="31"/>
      <c r="F168" s="31"/>
      <c r="G168" s="31"/>
      <c r="H168" s="31"/>
      <c r="I168" s="31"/>
      <c r="J168" s="31"/>
      <c r="K168" s="31"/>
      <c r="L168" s="31"/>
      <c r="M168" s="31"/>
      <c r="N168" s="31"/>
      <c r="O168" s="31"/>
      <c r="P168" s="31"/>
    </row>
    <row r="169" spans="1:16" hidden="1" x14ac:dyDescent="0.25">
      <c r="A169" s="31"/>
      <c r="B169" s="31"/>
      <c r="C169" s="31"/>
      <c r="D169" s="31"/>
      <c r="E169" s="31"/>
      <c r="F169" s="31"/>
      <c r="G169" s="31"/>
      <c r="H169" s="31"/>
      <c r="I169" s="31"/>
      <c r="J169" s="31"/>
      <c r="K169" s="31"/>
      <c r="L169" s="31"/>
      <c r="M169" s="31"/>
      <c r="N169" s="31"/>
      <c r="O169" s="31"/>
      <c r="P169" s="31"/>
    </row>
    <row r="170" spans="1:16" hidden="1" x14ac:dyDescent="0.25">
      <c r="A170" s="31"/>
      <c r="B170" s="31"/>
      <c r="C170" s="31"/>
      <c r="D170" s="31"/>
      <c r="E170" s="31"/>
      <c r="F170" s="31"/>
      <c r="G170" s="31"/>
      <c r="H170" s="31"/>
      <c r="I170" s="31"/>
      <c r="J170" s="31"/>
      <c r="K170" s="31"/>
      <c r="L170" s="31"/>
      <c r="M170" s="31"/>
      <c r="N170" s="31"/>
      <c r="O170" s="31"/>
      <c r="P170" s="31"/>
    </row>
    <row r="171" spans="1:16" hidden="1" x14ac:dyDescent="0.25">
      <c r="A171" s="31"/>
      <c r="B171" s="31"/>
      <c r="C171" s="31"/>
      <c r="D171" s="31"/>
      <c r="E171" s="31"/>
      <c r="F171" s="31"/>
      <c r="G171" s="31"/>
      <c r="H171" s="31"/>
      <c r="I171" s="31"/>
      <c r="J171" s="31"/>
      <c r="K171" s="31"/>
      <c r="L171" s="31"/>
      <c r="M171" s="31"/>
      <c r="N171" s="31"/>
      <c r="O171" s="31"/>
      <c r="P171" s="31"/>
    </row>
    <row r="172" spans="1:16" hidden="1" x14ac:dyDescent="0.25">
      <c r="A172" s="31"/>
      <c r="B172" s="31"/>
      <c r="C172" s="31"/>
      <c r="D172" s="31"/>
      <c r="E172" s="31"/>
      <c r="F172" s="31"/>
      <c r="G172" s="31"/>
      <c r="H172" s="31"/>
      <c r="I172" s="31"/>
      <c r="J172" s="31"/>
      <c r="K172" s="31"/>
      <c r="L172" s="31"/>
      <c r="M172" s="31"/>
      <c r="N172" s="31"/>
      <c r="O172" s="31"/>
      <c r="P172" s="31"/>
    </row>
    <row r="173" spans="1:16" hidden="1" x14ac:dyDescent="0.25">
      <c r="A173" s="31"/>
      <c r="B173" s="31"/>
      <c r="C173" s="31"/>
      <c r="D173" s="31"/>
      <c r="E173" s="31"/>
      <c r="F173" s="31"/>
      <c r="G173" s="31"/>
      <c r="H173" s="31"/>
      <c r="I173" s="31"/>
      <c r="J173" s="31"/>
      <c r="K173" s="31"/>
      <c r="L173" s="31"/>
      <c r="M173" s="31"/>
      <c r="N173" s="31"/>
      <c r="O173" s="31"/>
      <c r="P173" s="31"/>
    </row>
    <row r="174" spans="1:16" hidden="1" x14ac:dyDescent="0.25">
      <c r="A174" s="31"/>
      <c r="B174" s="31"/>
      <c r="C174" s="31"/>
      <c r="D174" s="31"/>
      <c r="E174" s="31"/>
      <c r="F174" s="31"/>
      <c r="G174" s="31"/>
      <c r="H174" s="31"/>
      <c r="I174" s="31"/>
      <c r="J174" s="31"/>
      <c r="K174" s="31"/>
      <c r="L174" s="31"/>
      <c r="M174" s="31"/>
      <c r="N174" s="31"/>
      <c r="O174" s="31"/>
      <c r="P174" s="31"/>
    </row>
    <row r="175" spans="1:16" hidden="1" x14ac:dyDescent="0.25">
      <c r="A175" s="31"/>
      <c r="B175" s="31"/>
      <c r="C175" s="31"/>
      <c r="D175" s="31"/>
      <c r="E175" s="31"/>
      <c r="F175" s="31"/>
      <c r="G175" s="31"/>
      <c r="H175" s="31"/>
      <c r="I175" s="31"/>
      <c r="J175" s="31"/>
      <c r="K175" s="31"/>
      <c r="L175" s="31"/>
      <c r="M175" s="31"/>
      <c r="N175" s="31"/>
      <c r="O175" s="31"/>
      <c r="P175" s="31"/>
    </row>
    <row r="176" spans="1:16" hidden="1" x14ac:dyDescent="0.25">
      <c r="A176" s="31"/>
      <c r="B176" s="31"/>
      <c r="C176" s="31"/>
      <c r="D176" s="31"/>
      <c r="E176" s="31"/>
      <c r="F176" s="31"/>
      <c r="G176" s="31"/>
      <c r="H176" s="31"/>
      <c r="I176" s="31"/>
      <c r="J176" s="31"/>
      <c r="K176" s="31"/>
      <c r="L176" s="31"/>
      <c r="M176" s="31"/>
      <c r="N176" s="31"/>
      <c r="O176" s="31"/>
      <c r="P176" s="31"/>
    </row>
    <row r="177" spans="1:16" hidden="1" x14ac:dyDescent="0.25">
      <c r="A177" s="31"/>
      <c r="B177" s="31"/>
      <c r="C177" s="31"/>
      <c r="D177" s="31"/>
      <c r="E177" s="31"/>
      <c r="F177" s="31"/>
      <c r="G177" s="31"/>
      <c r="H177" s="31"/>
      <c r="I177" s="31"/>
      <c r="J177" s="31"/>
      <c r="K177" s="31"/>
      <c r="L177" s="31"/>
      <c r="M177" s="31"/>
      <c r="N177" s="31"/>
      <c r="O177" s="31"/>
      <c r="P177" s="31"/>
    </row>
    <row r="178" spans="1:16" hidden="1" x14ac:dyDescent="0.25">
      <c r="A178" s="31"/>
      <c r="B178" s="31"/>
      <c r="C178" s="31"/>
      <c r="D178" s="31"/>
      <c r="E178" s="31"/>
      <c r="F178" s="31"/>
      <c r="G178" s="31"/>
      <c r="H178" s="31"/>
      <c r="I178" s="31"/>
      <c r="J178" s="31"/>
      <c r="K178" s="31"/>
      <c r="L178" s="31"/>
      <c r="M178" s="31"/>
      <c r="N178" s="31"/>
      <c r="O178" s="31"/>
      <c r="P178" s="31"/>
    </row>
    <row r="179" spans="1:16" hidden="1" x14ac:dyDescent="0.25">
      <c r="A179" s="31"/>
      <c r="B179" s="31"/>
      <c r="C179" s="31"/>
      <c r="D179" s="31"/>
      <c r="E179" s="31"/>
      <c r="F179" s="31"/>
      <c r="G179" s="31"/>
      <c r="H179" s="31"/>
      <c r="I179" s="31"/>
      <c r="J179" s="31"/>
      <c r="K179" s="31"/>
      <c r="L179" s="31"/>
      <c r="M179" s="31"/>
      <c r="N179" s="31"/>
      <c r="O179" s="31"/>
      <c r="P179" s="31"/>
    </row>
    <row r="180" spans="1:16" hidden="1" x14ac:dyDescent="0.25">
      <c r="A180" s="31"/>
      <c r="B180" s="31"/>
      <c r="C180" s="31"/>
      <c r="D180" s="31"/>
      <c r="E180" s="31"/>
      <c r="F180" s="31"/>
      <c r="G180" s="31"/>
      <c r="H180" s="31"/>
      <c r="I180" s="31"/>
      <c r="J180" s="31"/>
      <c r="K180" s="31"/>
      <c r="L180" s="31"/>
      <c r="M180" s="31"/>
      <c r="N180" s="31"/>
      <c r="O180" s="31"/>
      <c r="P180" s="31"/>
    </row>
    <row r="181" spans="1:16" hidden="1" x14ac:dyDescent="0.25">
      <c r="A181" s="31"/>
      <c r="B181" s="31"/>
      <c r="C181" s="31"/>
      <c r="D181" s="31"/>
      <c r="E181" s="31"/>
      <c r="F181" s="31"/>
      <c r="G181" s="31"/>
      <c r="H181" s="31"/>
      <c r="I181" s="31"/>
      <c r="J181" s="31"/>
      <c r="K181" s="31"/>
      <c r="L181" s="31"/>
      <c r="M181" s="31"/>
      <c r="N181" s="31"/>
      <c r="O181" s="31"/>
      <c r="P181" s="31"/>
    </row>
    <row r="182" spans="1:16" hidden="1" x14ac:dyDescent="0.25">
      <c r="A182" s="31"/>
      <c r="B182" s="31"/>
      <c r="C182" s="31"/>
      <c r="D182" s="31"/>
      <c r="E182" s="31"/>
      <c r="F182" s="31"/>
      <c r="G182" s="31"/>
      <c r="H182" s="31"/>
      <c r="I182" s="31"/>
      <c r="J182" s="31"/>
      <c r="K182" s="31"/>
      <c r="L182" s="31"/>
      <c r="M182" s="31"/>
      <c r="N182" s="31"/>
      <c r="O182" s="31"/>
      <c r="P182" s="31"/>
    </row>
    <row r="183" spans="1:16" hidden="1" x14ac:dyDescent="0.25">
      <c r="A183" s="31"/>
      <c r="B183" s="31"/>
      <c r="C183" s="31"/>
      <c r="D183" s="31"/>
      <c r="E183" s="31"/>
      <c r="F183" s="31"/>
      <c r="G183" s="31"/>
      <c r="H183" s="31"/>
      <c r="I183" s="31"/>
      <c r="J183" s="31"/>
      <c r="K183" s="31"/>
      <c r="L183" s="31"/>
      <c r="M183" s="31"/>
      <c r="N183" s="31"/>
      <c r="O183" s="31"/>
      <c r="P183" s="31"/>
    </row>
    <row r="184" spans="1:16" hidden="1" x14ac:dyDescent="0.25">
      <c r="A184" s="31"/>
      <c r="B184" s="31"/>
      <c r="C184" s="31"/>
      <c r="D184" s="31"/>
      <c r="E184" s="31"/>
      <c r="F184" s="31"/>
      <c r="G184" s="31"/>
      <c r="H184" s="31"/>
      <c r="I184" s="31"/>
      <c r="J184" s="31"/>
      <c r="K184" s="31"/>
      <c r="L184" s="31"/>
      <c r="M184" s="31"/>
      <c r="N184" s="31"/>
      <c r="O184" s="31"/>
      <c r="P184" s="31"/>
    </row>
    <row r="185" spans="1:16" hidden="1" x14ac:dyDescent="0.25">
      <c r="A185" s="31"/>
      <c r="B185" s="31"/>
      <c r="C185" s="31"/>
      <c r="D185" s="31"/>
      <c r="E185" s="31"/>
      <c r="F185" s="31"/>
      <c r="G185" s="31"/>
      <c r="H185" s="31"/>
      <c r="I185" s="31"/>
      <c r="J185" s="31"/>
      <c r="K185" s="31"/>
      <c r="L185" s="31"/>
      <c r="M185" s="31"/>
      <c r="N185" s="31"/>
      <c r="O185" s="31"/>
      <c r="P185" s="31"/>
    </row>
    <row r="186" spans="1:16" hidden="1" x14ac:dyDescent="0.25">
      <c r="A186" s="31"/>
      <c r="B186" s="31"/>
      <c r="C186" s="31"/>
      <c r="D186" s="31"/>
      <c r="E186" s="31"/>
      <c r="F186" s="31"/>
      <c r="G186" s="31"/>
      <c r="H186" s="31"/>
      <c r="I186" s="31"/>
      <c r="J186" s="31"/>
      <c r="K186" s="31"/>
      <c r="L186" s="31"/>
      <c r="M186" s="31"/>
      <c r="N186" s="31"/>
      <c r="O186" s="31"/>
      <c r="P186" s="31"/>
    </row>
    <row r="187" spans="1:16" hidden="1" x14ac:dyDescent="0.25">
      <c r="A187" s="31"/>
      <c r="B187" s="31"/>
      <c r="C187" s="31"/>
      <c r="D187" s="31"/>
      <c r="E187" s="31"/>
      <c r="F187" s="31"/>
      <c r="G187" s="31"/>
      <c r="H187" s="31"/>
      <c r="I187" s="31"/>
      <c r="J187" s="31"/>
      <c r="K187" s="31"/>
      <c r="L187" s="31"/>
      <c r="M187" s="31"/>
      <c r="N187" s="31"/>
      <c r="O187" s="31"/>
      <c r="P187" s="31"/>
    </row>
    <row r="188" spans="1:16" hidden="1" x14ac:dyDescent="0.25">
      <c r="A188" s="31"/>
      <c r="B188" s="31"/>
      <c r="C188" s="31"/>
      <c r="D188" s="31"/>
      <c r="E188" s="31"/>
      <c r="F188" s="31"/>
      <c r="G188" s="31"/>
      <c r="H188" s="31"/>
      <c r="I188" s="31"/>
      <c r="J188" s="31"/>
      <c r="K188" s="31"/>
      <c r="L188" s="31"/>
      <c r="M188" s="31"/>
      <c r="N188" s="31"/>
      <c r="O188" s="31"/>
      <c r="P188" s="31"/>
    </row>
    <row r="189" spans="1:16" hidden="1" x14ac:dyDescent="0.25">
      <c r="A189" s="31"/>
      <c r="B189" s="31"/>
      <c r="C189" s="31"/>
      <c r="D189" s="31"/>
      <c r="E189" s="31"/>
      <c r="F189" s="31"/>
      <c r="G189" s="31"/>
      <c r="H189" s="31"/>
      <c r="I189" s="31"/>
      <c r="J189" s="31"/>
      <c r="K189" s="31"/>
      <c r="L189" s="31"/>
      <c r="M189" s="31"/>
      <c r="N189" s="31"/>
      <c r="O189" s="31"/>
      <c r="P189" s="31"/>
    </row>
    <row r="190" spans="1:16" hidden="1" x14ac:dyDescent="0.25">
      <c r="A190" s="31"/>
      <c r="B190" s="31"/>
      <c r="C190" s="31"/>
      <c r="D190" s="31"/>
      <c r="E190" s="31"/>
      <c r="F190" s="31"/>
      <c r="G190" s="31"/>
      <c r="H190" s="31"/>
      <c r="I190" s="31"/>
      <c r="J190" s="31"/>
      <c r="K190" s="31"/>
      <c r="L190" s="31"/>
      <c r="M190" s="31"/>
      <c r="N190" s="31"/>
      <c r="O190" s="31"/>
      <c r="P190" s="31"/>
    </row>
    <row r="191" spans="1:16" hidden="1" x14ac:dyDescent="0.25">
      <c r="A191" s="31"/>
      <c r="B191" s="31"/>
      <c r="C191" s="31"/>
      <c r="D191" s="31"/>
      <c r="E191" s="31"/>
      <c r="F191" s="31"/>
      <c r="G191" s="31"/>
      <c r="H191" s="31"/>
      <c r="I191" s="31"/>
      <c r="J191" s="31"/>
      <c r="K191" s="31"/>
      <c r="L191" s="31"/>
      <c r="M191" s="31"/>
      <c r="N191" s="31"/>
      <c r="O191" s="31"/>
      <c r="P191" s="31"/>
    </row>
    <row r="192" spans="1:16" hidden="1" x14ac:dyDescent="0.25">
      <c r="A192" s="31"/>
      <c r="B192" s="31"/>
      <c r="C192" s="31"/>
      <c r="D192" s="31"/>
      <c r="E192" s="31"/>
      <c r="F192" s="31"/>
      <c r="G192" s="31"/>
      <c r="H192" s="31"/>
      <c r="I192" s="31"/>
      <c r="J192" s="31"/>
      <c r="K192" s="31"/>
      <c r="L192" s="31"/>
      <c r="M192" s="31"/>
      <c r="N192" s="31"/>
      <c r="O192" s="31"/>
      <c r="P192" s="31"/>
    </row>
    <row r="193" spans="1:16" hidden="1" x14ac:dyDescent="0.25">
      <c r="A193" s="31"/>
      <c r="B193" s="31"/>
      <c r="C193" s="31"/>
      <c r="D193" s="31"/>
      <c r="E193" s="31"/>
      <c r="F193" s="31"/>
      <c r="G193" s="31"/>
      <c r="H193" s="31"/>
      <c r="I193" s="31"/>
      <c r="J193" s="31"/>
      <c r="K193" s="31"/>
      <c r="L193" s="31"/>
      <c r="M193" s="31"/>
      <c r="N193" s="31"/>
      <c r="O193" s="31"/>
      <c r="P193" s="31"/>
    </row>
    <row r="194" spans="1:16" hidden="1" x14ac:dyDescent="0.25">
      <c r="A194" s="31"/>
      <c r="B194" s="31"/>
      <c r="C194" s="31"/>
      <c r="D194" s="31"/>
      <c r="E194" s="31"/>
      <c r="F194" s="31"/>
      <c r="G194" s="31"/>
      <c r="H194" s="31"/>
      <c r="I194" s="31"/>
      <c r="J194" s="31"/>
      <c r="K194" s="31"/>
      <c r="L194" s="31"/>
      <c r="M194" s="31"/>
      <c r="N194" s="31"/>
      <c r="O194" s="31"/>
      <c r="P194" s="31"/>
    </row>
    <row r="195" spans="1:16" hidden="1" x14ac:dyDescent="0.25">
      <c r="A195" s="31"/>
      <c r="B195" s="31"/>
      <c r="C195" s="31"/>
      <c r="D195" s="31"/>
      <c r="E195" s="31"/>
      <c r="F195" s="31"/>
      <c r="G195" s="31"/>
      <c r="H195" s="31"/>
      <c r="I195" s="31"/>
      <c r="J195" s="31"/>
      <c r="K195" s="31"/>
      <c r="L195" s="31"/>
      <c r="M195" s="31"/>
      <c r="N195" s="31"/>
      <c r="O195" s="31"/>
      <c r="P195" s="31"/>
    </row>
    <row r="196" spans="1:16" hidden="1" x14ac:dyDescent="0.25">
      <c r="A196" s="31"/>
      <c r="B196" s="31"/>
      <c r="C196" s="31"/>
      <c r="D196" s="31"/>
      <c r="E196" s="31"/>
      <c r="F196" s="31"/>
      <c r="G196" s="31"/>
      <c r="H196" s="31"/>
      <c r="I196" s="31"/>
      <c r="J196" s="31"/>
      <c r="K196" s="31"/>
      <c r="L196" s="31"/>
      <c r="M196" s="31"/>
      <c r="N196" s="31"/>
      <c r="O196" s="31"/>
      <c r="P196" s="31"/>
    </row>
    <row r="197" spans="1:16" hidden="1" x14ac:dyDescent="0.25">
      <c r="A197" s="31"/>
      <c r="B197" s="31"/>
      <c r="C197" s="31"/>
      <c r="D197" s="31"/>
      <c r="E197" s="31"/>
      <c r="F197" s="31"/>
      <c r="G197" s="31"/>
      <c r="H197" s="31"/>
      <c r="I197" s="31"/>
      <c r="J197" s="31"/>
      <c r="K197" s="31"/>
      <c r="L197" s="31"/>
      <c r="M197" s="31"/>
      <c r="N197" s="31"/>
      <c r="O197" s="31"/>
      <c r="P197" s="31"/>
    </row>
    <row r="198" spans="1:16" hidden="1" x14ac:dyDescent="0.25">
      <c r="A198" s="31"/>
      <c r="B198" s="31"/>
      <c r="C198" s="31"/>
      <c r="D198" s="31"/>
      <c r="E198" s="31"/>
      <c r="F198" s="31"/>
      <c r="G198" s="31"/>
      <c r="H198" s="31"/>
      <c r="I198" s="31"/>
      <c r="J198" s="31"/>
      <c r="K198" s="31"/>
      <c r="L198" s="31"/>
      <c r="M198" s="31"/>
      <c r="N198" s="31"/>
      <c r="O198" s="31"/>
      <c r="P198" s="31"/>
    </row>
    <row r="199" spans="1:16" hidden="1" x14ac:dyDescent="0.25">
      <c r="A199" s="31"/>
      <c r="B199" s="31"/>
      <c r="C199" s="31"/>
      <c r="D199" s="31"/>
      <c r="E199" s="31"/>
      <c r="F199" s="31"/>
      <c r="G199" s="31"/>
      <c r="H199" s="31"/>
      <c r="I199" s="31"/>
      <c r="J199" s="31"/>
      <c r="K199" s="31"/>
      <c r="L199" s="31"/>
      <c r="M199" s="31"/>
      <c r="N199" s="31"/>
      <c r="O199" s="31"/>
      <c r="P199" s="31"/>
    </row>
    <row r="200" spans="1:16" hidden="1" x14ac:dyDescent="0.25">
      <c r="A200" s="31"/>
      <c r="B200" s="31"/>
      <c r="C200" s="31"/>
      <c r="D200" s="31"/>
      <c r="E200" s="31"/>
      <c r="F200" s="31"/>
      <c r="G200" s="31"/>
      <c r="H200" s="31"/>
      <c r="I200" s="31"/>
      <c r="J200" s="31"/>
      <c r="K200" s="31"/>
      <c r="L200" s="31"/>
      <c r="M200" s="31"/>
      <c r="N200" s="31"/>
      <c r="O200" s="31"/>
      <c r="P200" s="31"/>
    </row>
    <row r="201" spans="1:16" hidden="1" x14ac:dyDescent="0.25">
      <c r="A201" s="31"/>
      <c r="B201" s="31"/>
      <c r="C201" s="31"/>
      <c r="D201" s="31"/>
      <c r="E201" s="31"/>
      <c r="F201" s="31"/>
      <c r="G201" s="31"/>
      <c r="H201" s="31"/>
      <c r="I201" s="31"/>
      <c r="J201" s="31"/>
      <c r="K201" s="31"/>
      <c r="L201" s="31"/>
      <c r="M201" s="31"/>
      <c r="N201" s="31"/>
      <c r="O201" s="31"/>
      <c r="P201" s="31"/>
    </row>
    <row r="202" spans="1:16" hidden="1" x14ac:dyDescent="0.25">
      <c r="A202" s="31"/>
      <c r="B202" s="31"/>
      <c r="C202" s="31"/>
      <c r="D202" s="31"/>
      <c r="E202" s="31"/>
      <c r="F202" s="31"/>
      <c r="G202" s="31"/>
      <c r="H202" s="31"/>
      <c r="I202" s="31"/>
      <c r="J202" s="31"/>
      <c r="K202" s="31"/>
      <c r="L202" s="31"/>
      <c r="M202" s="31"/>
      <c r="N202" s="31"/>
      <c r="O202" s="31"/>
      <c r="P202" s="31"/>
    </row>
    <row r="203" spans="1:16" hidden="1" x14ac:dyDescent="0.25">
      <c r="A203" s="31"/>
      <c r="B203" s="31"/>
      <c r="C203" s="31"/>
      <c r="D203" s="31"/>
      <c r="E203" s="31"/>
      <c r="F203" s="31"/>
      <c r="G203" s="31"/>
      <c r="H203" s="31"/>
      <c r="I203" s="31"/>
      <c r="J203" s="31"/>
      <c r="K203" s="31"/>
      <c r="L203" s="31"/>
      <c r="M203" s="31"/>
      <c r="N203" s="31"/>
      <c r="O203" s="31"/>
      <c r="P203" s="31"/>
    </row>
    <row r="204" spans="1:16" hidden="1" x14ac:dyDescent="0.25">
      <c r="A204" s="31"/>
      <c r="B204" s="31"/>
      <c r="C204" s="31"/>
      <c r="D204" s="31"/>
      <c r="E204" s="31"/>
      <c r="F204" s="31"/>
      <c r="G204" s="31"/>
      <c r="H204" s="31"/>
      <c r="I204" s="31"/>
      <c r="J204" s="31"/>
      <c r="K204" s="31"/>
      <c r="L204" s="31"/>
      <c r="M204" s="31"/>
      <c r="N204" s="31"/>
      <c r="O204" s="31"/>
      <c r="P204" s="31"/>
    </row>
    <row r="205" spans="1:16" hidden="1" x14ac:dyDescent="0.25">
      <c r="A205" s="31"/>
      <c r="B205" s="31"/>
      <c r="C205" s="31"/>
      <c r="D205" s="31"/>
      <c r="E205" s="31"/>
      <c r="F205" s="31"/>
      <c r="G205" s="31"/>
      <c r="H205" s="31"/>
      <c r="I205" s="31"/>
      <c r="J205" s="31"/>
      <c r="K205" s="31"/>
      <c r="L205" s="31"/>
      <c r="M205" s="31"/>
      <c r="N205" s="31"/>
      <c r="O205" s="31"/>
      <c r="P205" s="31"/>
    </row>
    <row r="206" spans="1:16" hidden="1" x14ac:dyDescent="0.25">
      <c r="A206" s="31"/>
      <c r="B206" s="31"/>
      <c r="C206" s="31"/>
      <c r="D206" s="31"/>
      <c r="E206" s="31"/>
      <c r="F206" s="31"/>
      <c r="G206" s="31"/>
      <c r="H206" s="31"/>
      <c r="I206" s="31"/>
      <c r="J206" s="31"/>
      <c r="K206" s="31"/>
      <c r="L206" s="31"/>
      <c r="M206" s="31"/>
      <c r="N206" s="31"/>
      <c r="O206" s="31"/>
      <c r="P206" s="31"/>
    </row>
    <row r="207" spans="1:16" hidden="1" x14ac:dyDescent="0.25">
      <c r="A207" s="31"/>
      <c r="B207" s="31"/>
      <c r="C207" s="31"/>
      <c r="D207" s="31"/>
      <c r="E207" s="31"/>
      <c r="F207" s="31"/>
      <c r="G207" s="31"/>
      <c r="H207" s="31"/>
      <c r="I207" s="31"/>
      <c r="J207" s="31"/>
      <c r="K207" s="31"/>
      <c r="L207" s="31"/>
      <c r="M207" s="31"/>
      <c r="N207" s="31"/>
      <c r="O207" s="31"/>
      <c r="P207" s="31"/>
    </row>
    <row r="208" spans="1:16" hidden="1" x14ac:dyDescent="0.25">
      <c r="A208" s="31"/>
      <c r="B208" s="31"/>
      <c r="C208" s="31"/>
      <c r="D208" s="31"/>
      <c r="E208" s="31"/>
      <c r="F208" s="31"/>
      <c r="G208" s="31"/>
      <c r="H208" s="31"/>
      <c r="I208" s="31"/>
      <c r="J208" s="31"/>
      <c r="K208" s="31"/>
      <c r="L208" s="31"/>
      <c r="M208" s="31"/>
      <c r="N208" s="31"/>
      <c r="O208" s="31"/>
      <c r="P208" s="31"/>
    </row>
    <row r="209" spans="1:16" hidden="1" x14ac:dyDescent="0.25">
      <c r="A209" s="31"/>
      <c r="B209" s="31"/>
      <c r="C209" s="31"/>
      <c r="D209" s="31"/>
      <c r="E209" s="31"/>
      <c r="F209" s="31"/>
      <c r="G209" s="31"/>
      <c r="H209" s="31"/>
      <c r="I209" s="31"/>
      <c r="J209" s="31"/>
      <c r="K209" s="31"/>
      <c r="L209" s="31"/>
      <c r="M209" s="31"/>
      <c r="N209" s="31"/>
      <c r="O209" s="31"/>
      <c r="P209" s="31"/>
    </row>
    <row r="210" spans="1:16" hidden="1" x14ac:dyDescent="0.25">
      <c r="A210" s="31"/>
      <c r="B210" s="31"/>
      <c r="C210" s="31"/>
      <c r="D210" s="31"/>
      <c r="E210" s="31"/>
      <c r="F210" s="31"/>
      <c r="G210" s="31"/>
      <c r="H210" s="31"/>
      <c r="I210" s="31"/>
      <c r="J210" s="31"/>
      <c r="K210" s="31"/>
      <c r="L210" s="31"/>
      <c r="M210" s="31"/>
      <c r="N210" s="31"/>
      <c r="O210" s="31"/>
      <c r="P210" s="31"/>
    </row>
    <row r="211" spans="1:16" hidden="1" x14ac:dyDescent="0.25">
      <c r="A211" s="31"/>
      <c r="B211" s="31"/>
      <c r="C211" s="31"/>
      <c r="D211" s="31"/>
      <c r="E211" s="31"/>
      <c r="F211" s="31"/>
      <c r="G211" s="31"/>
      <c r="H211" s="31"/>
      <c r="I211" s="31"/>
      <c r="J211" s="31"/>
      <c r="K211" s="31"/>
      <c r="L211" s="31"/>
      <c r="M211" s="31"/>
      <c r="N211" s="31"/>
      <c r="O211" s="31"/>
      <c r="P211" s="31"/>
    </row>
    <row r="212" spans="1:16" hidden="1" x14ac:dyDescent="0.25">
      <c r="A212" s="31"/>
      <c r="B212" s="31"/>
      <c r="C212" s="31"/>
      <c r="D212" s="31"/>
      <c r="E212" s="31"/>
      <c r="F212" s="31"/>
      <c r="G212" s="31"/>
      <c r="H212" s="31"/>
      <c r="I212" s="31"/>
      <c r="J212" s="31"/>
      <c r="K212" s="31"/>
      <c r="L212" s="31"/>
      <c r="M212" s="31"/>
      <c r="N212" s="31"/>
      <c r="O212" s="31"/>
      <c r="P212" s="31"/>
    </row>
    <row r="213" spans="1:16" hidden="1" x14ac:dyDescent="0.25">
      <c r="A213" s="31"/>
      <c r="B213" s="31"/>
      <c r="C213" s="31"/>
      <c r="D213" s="31"/>
      <c r="E213" s="31"/>
      <c r="F213" s="31"/>
      <c r="G213" s="31"/>
      <c r="H213" s="31"/>
      <c r="I213" s="31"/>
      <c r="J213" s="31"/>
      <c r="K213" s="31"/>
      <c r="L213" s="31"/>
      <c r="M213" s="31"/>
      <c r="N213" s="31"/>
      <c r="O213" s="31"/>
      <c r="P213" s="31"/>
    </row>
    <row r="214" spans="1:16" hidden="1" x14ac:dyDescent="0.25">
      <c r="A214" s="31"/>
      <c r="B214" s="31"/>
      <c r="C214" s="31"/>
      <c r="D214" s="31"/>
      <c r="E214" s="31"/>
      <c r="F214" s="31"/>
      <c r="G214" s="31"/>
      <c r="H214" s="31"/>
      <c r="I214" s="31"/>
      <c r="J214" s="31"/>
      <c r="K214" s="31"/>
      <c r="L214" s="31"/>
      <c r="M214" s="31"/>
      <c r="N214" s="31"/>
      <c r="O214" s="31"/>
      <c r="P214" s="31"/>
    </row>
    <row r="215" spans="1:16" hidden="1" x14ac:dyDescent="0.25">
      <c r="A215" s="31"/>
      <c r="B215" s="31"/>
      <c r="C215" s="31"/>
      <c r="D215" s="31"/>
      <c r="E215" s="31"/>
      <c r="F215" s="31"/>
      <c r="G215" s="31"/>
      <c r="H215" s="31"/>
      <c r="I215" s="31"/>
      <c r="J215" s="31"/>
      <c r="K215" s="31"/>
      <c r="L215" s="31"/>
      <c r="M215" s="31"/>
      <c r="N215" s="31"/>
      <c r="O215" s="31"/>
      <c r="P215" s="31"/>
    </row>
    <row r="216" spans="1:16" hidden="1" x14ac:dyDescent="0.25">
      <c r="A216" s="31"/>
      <c r="B216" s="31"/>
      <c r="C216" s="31"/>
      <c r="D216" s="31"/>
      <c r="E216" s="31"/>
      <c r="F216" s="31"/>
      <c r="G216" s="31"/>
      <c r="H216" s="31"/>
      <c r="I216" s="31"/>
      <c r="J216" s="31"/>
      <c r="K216" s="31"/>
      <c r="L216" s="31"/>
      <c r="M216" s="31"/>
      <c r="N216" s="31"/>
      <c r="O216" s="31"/>
      <c r="P216" s="31"/>
    </row>
    <row r="217" spans="1:16" hidden="1" x14ac:dyDescent="0.25">
      <c r="A217" s="31"/>
      <c r="B217" s="31"/>
      <c r="C217" s="31"/>
      <c r="D217" s="31"/>
      <c r="E217" s="31"/>
      <c r="F217" s="31"/>
      <c r="G217" s="31"/>
      <c r="H217" s="31"/>
      <c r="I217" s="31"/>
      <c r="J217" s="31"/>
      <c r="K217" s="31"/>
      <c r="L217" s="31"/>
      <c r="M217" s="31"/>
      <c r="N217" s="31"/>
      <c r="O217" s="31"/>
      <c r="P217" s="31"/>
    </row>
    <row r="218" spans="1:16" hidden="1" x14ac:dyDescent="0.25">
      <c r="A218" s="31"/>
      <c r="B218" s="31"/>
      <c r="C218" s="31"/>
      <c r="D218" s="31"/>
      <c r="E218" s="31"/>
      <c r="F218" s="31"/>
      <c r="G218" s="31"/>
      <c r="H218" s="31"/>
      <c r="I218" s="31"/>
      <c r="J218" s="31"/>
      <c r="K218" s="31"/>
      <c r="L218" s="31"/>
      <c r="M218" s="31"/>
      <c r="N218" s="31"/>
      <c r="O218" s="31"/>
      <c r="P218" s="31"/>
    </row>
    <row r="219" spans="1:16" hidden="1" x14ac:dyDescent="0.25">
      <c r="A219" s="31"/>
      <c r="B219" s="31"/>
      <c r="C219" s="31"/>
      <c r="D219" s="31"/>
      <c r="E219" s="31"/>
      <c r="F219" s="31"/>
      <c r="G219" s="31"/>
      <c r="H219" s="31"/>
      <c r="I219" s="31"/>
      <c r="J219" s="31"/>
      <c r="K219" s="31"/>
      <c r="L219" s="31"/>
      <c r="M219" s="31"/>
      <c r="N219" s="31"/>
      <c r="O219" s="31"/>
      <c r="P219" s="31"/>
    </row>
    <row r="220" spans="1:16" hidden="1" x14ac:dyDescent="0.25">
      <c r="A220" s="31"/>
      <c r="B220" s="31"/>
      <c r="C220" s="31"/>
      <c r="D220" s="31"/>
      <c r="E220" s="31"/>
      <c r="F220" s="31"/>
      <c r="G220" s="31"/>
      <c r="H220" s="31"/>
      <c r="I220" s="31"/>
      <c r="J220" s="31"/>
      <c r="K220" s="31"/>
      <c r="L220" s="31"/>
      <c r="M220" s="31"/>
      <c r="N220" s="31"/>
      <c r="O220" s="31"/>
      <c r="P220" s="31"/>
    </row>
    <row r="221" spans="1:16" hidden="1" x14ac:dyDescent="0.25">
      <c r="A221" s="31"/>
      <c r="B221" s="31"/>
      <c r="C221" s="31"/>
      <c r="D221" s="31"/>
      <c r="E221" s="31"/>
      <c r="F221" s="31"/>
      <c r="G221" s="31"/>
      <c r="H221" s="31"/>
      <c r="I221" s="31"/>
      <c r="J221" s="31"/>
      <c r="K221" s="31"/>
      <c r="L221" s="31"/>
      <c r="M221" s="31"/>
      <c r="N221" s="31"/>
      <c r="O221" s="31"/>
      <c r="P221" s="31"/>
    </row>
    <row r="222" spans="1:16" hidden="1" x14ac:dyDescent="0.25">
      <c r="A222" s="31"/>
      <c r="B222" s="31"/>
      <c r="C222" s="31"/>
      <c r="D222" s="31"/>
      <c r="E222" s="31"/>
      <c r="F222" s="31"/>
      <c r="G222" s="31"/>
      <c r="H222" s="31"/>
      <c r="I222" s="31"/>
      <c r="J222" s="31"/>
      <c r="K222" s="31"/>
      <c r="L222" s="31"/>
      <c r="M222" s="31"/>
      <c r="N222" s="31"/>
      <c r="O222" s="31"/>
      <c r="P222" s="31"/>
    </row>
    <row r="223" spans="1:16" hidden="1" x14ac:dyDescent="0.25">
      <c r="A223" s="31"/>
      <c r="B223" s="31"/>
      <c r="C223" s="31"/>
      <c r="D223" s="31"/>
      <c r="E223" s="31"/>
      <c r="F223" s="31"/>
      <c r="G223" s="31"/>
      <c r="H223" s="31"/>
      <c r="I223" s="31"/>
      <c r="J223" s="31"/>
      <c r="K223" s="31"/>
      <c r="L223" s="31"/>
      <c r="M223" s="31"/>
      <c r="N223" s="31"/>
      <c r="O223" s="31"/>
      <c r="P223" s="31"/>
    </row>
    <row r="224" spans="1:16" hidden="1" x14ac:dyDescent="0.25">
      <c r="A224" s="31"/>
      <c r="B224" s="31"/>
      <c r="C224" s="31"/>
      <c r="D224" s="31"/>
      <c r="E224" s="31"/>
      <c r="F224" s="31"/>
      <c r="G224" s="31"/>
      <c r="H224" s="31"/>
      <c r="I224" s="31"/>
      <c r="J224" s="31"/>
      <c r="K224" s="31"/>
      <c r="L224" s="31"/>
      <c r="M224" s="31"/>
      <c r="N224" s="31"/>
      <c r="O224" s="31"/>
      <c r="P224" s="31"/>
    </row>
    <row r="225" spans="1:16" hidden="1" x14ac:dyDescent="0.25">
      <c r="A225" s="31"/>
      <c r="B225" s="31"/>
      <c r="C225" s="31"/>
      <c r="D225" s="31"/>
      <c r="E225" s="31"/>
      <c r="F225" s="31"/>
      <c r="G225" s="31"/>
      <c r="H225" s="31"/>
      <c r="I225" s="31"/>
      <c r="J225" s="31"/>
      <c r="K225" s="31"/>
      <c r="L225" s="31"/>
      <c r="M225" s="31"/>
      <c r="N225" s="31"/>
      <c r="O225" s="31"/>
      <c r="P225" s="31"/>
    </row>
    <row r="226" spans="1:16" hidden="1" x14ac:dyDescent="0.25">
      <c r="A226" s="31"/>
      <c r="B226" s="31"/>
      <c r="C226" s="31"/>
      <c r="D226" s="31"/>
      <c r="E226" s="31"/>
      <c r="F226" s="31"/>
      <c r="G226" s="31"/>
      <c r="H226" s="31"/>
      <c r="I226" s="31"/>
      <c r="J226" s="31"/>
      <c r="K226" s="31"/>
      <c r="L226" s="31"/>
      <c r="M226" s="31"/>
      <c r="N226" s="31"/>
      <c r="O226" s="31"/>
      <c r="P226" s="31"/>
    </row>
    <row r="227" spans="1:16" hidden="1" x14ac:dyDescent="0.25">
      <c r="A227" s="31"/>
      <c r="B227" s="31"/>
      <c r="C227" s="31"/>
      <c r="D227" s="31"/>
      <c r="E227" s="31"/>
      <c r="F227" s="31"/>
      <c r="G227" s="31"/>
      <c r="H227" s="31"/>
      <c r="I227" s="31"/>
      <c r="J227" s="31"/>
      <c r="K227" s="31"/>
      <c r="L227" s="31"/>
      <c r="M227" s="31"/>
      <c r="N227" s="31"/>
      <c r="O227" s="31"/>
      <c r="P227" s="31"/>
    </row>
    <row r="228" spans="1:16" hidden="1" x14ac:dyDescent="0.25">
      <c r="A228" s="31"/>
      <c r="B228" s="31"/>
      <c r="C228" s="31"/>
      <c r="D228" s="31"/>
      <c r="E228" s="31"/>
      <c r="F228" s="31"/>
      <c r="G228" s="31"/>
      <c r="H228" s="31"/>
      <c r="I228" s="31"/>
      <c r="J228" s="31"/>
      <c r="K228" s="31"/>
      <c r="L228" s="31"/>
      <c r="M228" s="31"/>
      <c r="N228" s="31"/>
      <c r="O228" s="31"/>
      <c r="P228" s="31"/>
    </row>
    <row r="229" spans="1:16" hidden="1" x14ac:dyDescent="0.25">
      <c r="A229" s="31"/>
      <c r="B229" s="31"/>
      <c r="C229" s="31"/>
      <c r="D229" s="31"/>
      <c r="E229" s="31"/>
      <c r="F229" s="31"/>
      <c r="G229" s="31"/>
      <c r="H229" s="31"/>
      <c r="I229" s="31"/>
      <c r="J229" s="31"/>
      <c r="K229" s="31"/>
      <c r="L229" s="31"/>
      <c r="M229" s="31"/>
      <c r="N229" s="31"/>
      <c r="O229" s="31"/>
      <c r="P229" s="31"/>
    </row>
    <row r="230" spans="1:16" hidden="1" x14ac:dyDescent="0.25">
      <c r="A230" s="31"/>
      <c r="B230" s="31"/>
      <c r="C230" s="31"/>
      <c r="D230" s="31"/>
      <c r="E230" s="31"/>
      <c r="F230" s="31"/>
      <c r="G230" s="31"/>
      <c r="H230" s="31"/>
      <c r="I230" s="31"/>
      <c r="J230" s="31"/>
      <c r="K230" s="31"/>
      <c r="L230" s="31"/>
      <c r="M230" s="31"/>
      <c r="N230" s="31"/>
      <c r="O230" s="31"/>
      <c r="P230" s="31"/>
    </row>
    <row r="231" spans="1:16" hidden="1" x14ac:dyDescent="0.25">
      <c r="A231" s="31"/>
      <c r="B231" s="31"/>
      <c r="C231" s="31"/>
      <c r="D231" s="31"/>
      <c r="E231" s="31"/>
      <c r="F231" s="31"/>
      <c r="G231" s="31"/>
      <c r="H231" s="31"/>
      <c r="I231" s="31"/>
      <c r="J231" s="31"/>
      <c r="K231" s="31"/>
      <c r="L231" s="31"/>
      <c r="M231" s="31"/>
      <c r="N231" s="31"/>
      <c r="O231" s="31"/>
      <c r="P231" s="31"/>
    </row>
    <row r="232" spans="1:16" hidden="1" x14ac:dyDescent="0.25">
      <c r="A232" s="31"/>
      <c r="B232" s="31"/>
      <c r="C232" s="31"/>
      <c r="D232" s="31"/>
      <c r="E232" s="31"/>
      <c r="F232" s="31"/>
      <c r="G232" s="31"/>
      <c r="H232" s="31"/>
      <c r="I232" s="31"/>
      <c r="J232" s="31"/>
      <c r="K232" s="31"/>
      <c r="L232" s="31"/>
      <c r="M232" s="31"/>
      <c r="N232" s="31"/>
      <c r="O232" s="31"/>
      <c r="P232" s="31"/>
    </row>
    <row r="233" spans="1:16" hidden="1" x14ac:dyDescent="0.25">
      <c r="A233" s="31"/>
      <c r="B233" s="31"/>
      <c r="C233" s="31"/>
      <c r="D233" s="31"/>
      <c r="E233" s="31"/>
      <c r="F233" s="31"/>
      <c r="G233" s="31"/>
      <c r="H233" s="31"/>
      <c r="I233" s="31"/>
      <c r="J233" s="31"/>
      <c r="K233" s="31"/>
      <c r="L233" s="31"/>
      <c r="M233" s="31"/>
      <c r="N233" s="31"/>
      <c r="O233" s="31"/>
      <c r="P233" s="31"/>
    </row>
    <row r="234" spans="1:16" hidden="1" x14ac:dyDescent="0.25">
      <c r="A234" s="31"/>
      <c r="B234" s="31"/>
      <c r="C234" s="31"/>
      <c r="D234" s="31"/>
      <c r="E234" s="31"/>
      <c r="F234" s="31"/>
      <c r="G234" s="31"/>
      <c r="H234" s="31"/>
      <c r="I234" s="31"/>
      <c r="J234" s="31"/>
      <c r="K234" s="31"/>
      <c r="L234" s="31"/>
      <c r="M234" s="31"/>
      <c r="N234" s="31"/>
      <c r="O234" s="31"/>
      <c r="P234" s="31"/>
    </row>
    <row r="235" spans="1:16" hidden="1" x14ac:dyDescent="0.25">
      <c r="A235" s="31"/>
      <c r="B235" s="31"/>
      <c r="C235" s="31"/>
      <c r="D235" s="31"/>
      <c r="E235" s="31"/>
      <c r="F235" s="31"/>
      <c r="G235" s="31"/>
      <c r="H235" s="31"/>
      <c r="I235" s="31"/>
      <c r="J235" s="31"/>
      <c r="K235" s="31"/>
      <c r="L235" s="31"/>
      <c r="M235" s="31"/>
      <c r="N235" s="31"/>
      <c r="O235" s="31"/>
      <c r="P235" s="31"/>
    </row>
    <row r="236" spans="1:16" hidden="1" x14ac:dyDescent="0.25">
      <c r="A236" s="31"/>
      <c r="B236" s="31"/>
      <c r="C236" s="31"/>
      <c r="D236" s="31"/>
      <c r="E236" s="31"/>
      <c r="F236" s="31"/>
      <c r="G236" s="31"/>
      <c r="H236" s="31"/>
      <c r="I236" s="31"/>
      <c r="J236" s="31"/>
      <c r="K236" s="31"/>
      <c r="L236" s="31"/>
      <c r="M236" s="31"/>
      <c r="N236" s="31"/>
      <c r="O236" s="31"/>
      <c r="P236" s="31"/>
    </row>
    <row r="237" spans="1:16" hidden="1" x14ac:dyDescent="0.25">
      <c r="A237" s="31"/>
      <c r="B237" s="31"/>
      <c r="C237" s="31"/>
      <c r="D237" s="31"/>
      <c r="E237" s="31"/>
      <c r="F237" s="31"/>
      <c r="G237" s="31"/>
      <c r="H237" s="31"/>
      <c r="I237" s="31"/>
      <c r="J237" s="31"/>
      <c r="K237" s="31"/>
      <c r="L237" s="31"/>
      <c r="M237" s="31"/>
      <c r="N237" s="31"/>
      <c r="O237" s="31"/>
      <c r="P237" s="31"/>
    </row>
    <row r="238" spans="1:16" hidden="1" x14ac:dyDescent="0.25">
      <c r="A238" s="31"/>
      <c r="B238" s="31"/>
      <c r="C238" s="31"/>
      <c r="D238" s="31"/>
      <c r="E238" s="31"/>
      <c r="F238" s="31"/>
      <c r="G238" s="31"/>
      <c r="H238" s="31"/>
      <c r="I238" s="31"/>
      <c r="J238" s="31"/>
      <c r="K238" s="31"/>
      <c r="L238" s="31"/>
      <c r="M238" s="31"/>
      <c r="N238" s="31"/>
      <c r="O238" s="31"/>
      <c r="P238" s="31"/>
    </row>
    <row r="239" spans="1:16" hidden="1" x14ac:dyDescent="0.25">
      <c r="A239" s="31"/>
      <c r="B239" s="31"/>
      <c r="C239" s="31"/>
      <c r="D239" s="31"/>
      <c r="E239" s="31"/>
      <c r="F239" s="31"/>
      <c r="G239" s="31"/>
      <c r="H239" s="31"/>
      <c r="I239" s="31"/>
      <c r="J239" s="31"/>
      <c r="K239" s="31"/>
      <c r="L239" s="31"/>
      <c r="M239" s="31"/>
      <c r="N239" s="31"/>
      <c r="O239" s="31"/>
      <c r="P239" s="31"/>
    </row>
    <row r="240" spans="1:16" hidden="1" x14ac:dyDescent="0.25">
      <c r="A240" s="31"/>
      <c r="B240" s="31"/>
      <c r="C240" s="31"/>
      <c r="D240" s="31"/>
      <c r="E240" s="31"/>
      <c r="F240" s="31"/>
      <c r="G240" s="31"/>
      <c r="H240" s="31"/>
      <c r="I240" s="31"/>
      <c r="J240" s="31"/>
      <c r="K240" s="31"/>
      <c r="L240" s="31"/>
      <c r="M240" s="31"/>
      <c r="N240" s="31"/>
      <c r="O240" s="31"/>
      <c r="P240" s="31"/>
    </row>
    <row r="241" spans="1:16" hidden="1" x14ac:dyDescent="0.25">
      <c r="A241" s="31"/>
      <c r="B241" s="31"/>
      <c r="C241" s="31"/>
      <c r="D241" s="31"/>
      <c r="E241" s="31"/>
      <c r="F241" s="31"/>
      <c r="G241" s="31"/>
      <c r="H241" s="31"/>
      <c r="I241" s="31"/>
      <c r="J241" s="31"/>
      <c r="K241" s="31"/>
      <c r="L241" s="31"/>
      <c r="M241" s="31"/>
      <c r="N241" s="31"/>
      <c r="O241" s="31"/>
      <c r="P241" s="31"/>
    </row>
    <row r="242" spans="1:16" hidden="1" x14ac:dyDescent="0.25">
      <c r="A242" s="31"/>
      <c r="B242" s="31"/>
      <c r="C242" s="31"/>
      <c r="D242" s="31"/>
      <c r="E242" s="31"/>
      <c r="F242" s="31"/>
      <c r="G242" s="31"/>
      <c r="H242" s="31"/>
      <c r="I242" s="31"/>
      <c r="J242" s="31"/>
      <c r="K242" s="31"/>
      <c r="L242" s="31"/>
      <c r="M242" s="31"/>
      <c r="N242" s="31"/>
      <c r="O242" s="31"/>
      <c r="P242" s="31"/>
    </row>
    <row r="243" spans="1:16" hidden="1" x14ac:dyDescent="0.25">
      <c r="A243" s="31"/>
      <c r="B243" s="31"/>
      <c r="C243" s="31"/>
      <c r="D243" s="31"/>
      <c r="E243" s="31"/>
      <c r="F243" s="31"/>
      <c r="G243" s="31"/>
      <c r="H243" s="31"/>
      <c r="I243" s="31"/>
      <c r="J243" s="31"/>
      <c r="K243" s="31"/>
      <c r="L243" s="31"/>
      <c r="M243" s="31"/>
      <c r="N243" s="31"/>
      <c r="O243" s="31"/>
      <c r="P243" s="31"/>
    </row>
    <row r="244" spans="1:16" hidden="1" x14ac:dyDescent="0.25">
      <c r="A244" s="31"/>
      <c r="B244" s="31"/>
      <c r="C244" s="31"/>
      <c r="D244" s="31"/>
      <c r="E244" s="31"/>
      <c r="F244" s="31"/>
      <c r="G244" s="31"/>
      <c r="H244" s="31"/>
      <c r="I244" s="31"/>
      <c r="J244" s="31"/>
      <c r="K244" s="31"/>
      <c r="L244" s="31"/>
      <c r="M244" s="31"/>
      <c r="N244" s="31"/>
      <c r="O244" s="31"/>
      <c r="P244" s="31"/>
    </row>
    <row r="245" spans="1:16" hidden="1" x14ac:dyDescent="0.25">
      <c r="A245" s="31"/>
      <c r="B245" s="31"/>
      <c r="C245" s="31"/>
      <c r="D245" s="31"/>
      <c r="E245" s="31"/>
      <c r="F245" s="31"/>
      <c r="G245" s="31"/>
      <c r="H245" s="31"/>
      <c r="I245" s="31"/>
      <c r="J245" s="31"/>
      <c r="K245" s="31"/>
      <c r="L245" s="31"/>
      <c r="M245" s="31"/>
      <c r="N245" s="31"/>
      <c r="O245" s="31"/>
      <c r="P245" s="31"/>
    </row>
    <row r="246" spans="1:16" hidden="1" x14ac:dyDescent="0.25">
      <c r="A246" s="31"/>
      <c r="B246" s="31"/>
      <c r="C246" s="31"/>
      <c r="D246" s="31"/>
      <c r="E246" s="31"/>
      <c r="F246" s="31"/>
      <c r="G246" s="31"/>
      <c r="H246" s="31"/>
      <c r="I246" s="31"/>
      <c r="J246" s="31"/>
      <c r="K246" s="31"/>
      <c r="L246" s="31"/>
      <c r="M246" s="31"/>
      <c r="N246" s="31"/>
      <c r="O246" s="31"/>
      <c r="P246" s="31"/>
    </row>
    <row r="247" spans="1:16" hidden="1" x14ac:dyDescent="0.25">
      <c r="A247" s="31"/>
      <c r="B247" s="31"/>
      <c r="C247" s="31"/>
      <c r="D247" s="31"/>
      <c r="E247" s="31"/>
      <c r="F247" s="31"/>
      <c r="G247" s="31"/>
      <c r="H247" s="31"/>
      <c r="I247" s="31"/>
      <c r="J247" s="31"/>
      <c r="K247" s="31"/>
      <c r="L247" s="31"/>
      <c r="M247" s="31"/>
      <c r="N247" s="31"/>
      <c r="O247" s="31"/>
      <c r="P247" s="31"/>
    </row>
    <row r="248" spans="1:16" hidden="1" x14ac:dyDescent="0.25">
      <c r="A248" s="31"/>
      <c r="B248" s="31"/>
      <c r="C248" s="31"/>
      <c r="D248" s="31"/>
      <c r="E248" s="31"/>
      <c r="F248" s="31"/>
      <c r="G248" s="31"/>
      <c r="H248" s="31"/>
      <c r="I248" s="31"/>
      <c r="J248" s="31"/>
      <c r="K248" s="31"/>
      <c r="L248" s="31"/>
      <c r="M248" s="31"/>
      <c r="N248" s="31"/>
      <c r="O248" s="31"/>
      <c r="P248" s="31"/>
    </row>
    <row r="249" spans="1:16" hidden="1" x14ac:dyDescent="0.25">
      <c r="A249" s="31"/>
      <c r="B249" s="31"/>
      <c r="C249" s="31"/>
      <c r="D249" s="31"/>
      <c r="E249" s="31"/>
      <c r="F249" s="31"/>
      <c r="G249" s="31"/>
      <c r="H249" s="31"/>
      <c r="I249" s="31"/>
      <c r="J249" s="31"/>
      <c r="K249" s="31"/>
      <c r="L249" s="31"/>
      <c r="M249" s="31"/>
      <c r="N249" s="31"/>
      <c r="O249" s="31"/>
      <c r="P249" s="31"/>
    </row>
    <row r="250" spans="1:16" hidden="1" x14ac:dyDescent="0.25">
      <c r="A250" s="31"/>
      <c r="B250" s="31"/>
      <c r="C250" s="31"/>
      <c r="D250" s="31"/>
      <c r="E250" s="31"/>
      <c r="F250" s="31"/>
      <c r="G250" s="31"/>
      <c r="H250" s="31"/>
      <c r="I250" s="31"/>
      <c r="J250" s="31"/>
      <c r="K250" s="31"/>
      <c r="L250" s="31"/>
      <c r="M250" s="31"/>
      <c r="N250" s="31"/>
      <c r="O250" s="31"/>
      <c r="P250" s="31"/>
    </row>
    <row r="251" spans="1:16" hidden="1" x14ac:dyDescent="0.25">
      <c r="A251" s="31"/>
      <c r="B251" s="31"/>
      <c r="C251" s="31"/>
      <c r="D251" s="31"/>
      <c r="E251" s="31"/>
      <c r="F251" s="31"/>
      <c r="G251" s="31"/>
      <c r="H251" s="31"/>
      <c r="I251" s="31"/>
      <c r="J251" s="31"/>
      <c r="K251" s="31"/>
      <c r="L251" s="31"/>
      <c r="M251" s="31"/>
      <c r="N251" s="31"/>
      <c r="O251" s="31"/>
      <c r="P251" s="31"/>
    </row>
    <row r="252" spans="1:16" hidden="1" x14ac:dyDescent="0.25">
      <c r="A252" s="31"/>
      <c r="B252" s="31"/>
      <c r="C252" s="31"/>
      <c r="D252" s="31"/>
      <c r="E252" s="31"/>
      <c r="F252" s="31"/>
      <c r="G252" s="31"/>
      <c r="H252" s="31"/>
      <c r="I252" s="31"/>
      <c r="J252" s="31"/>
      <c r="K252" s="31"/>
      <c r="L252" s="31"/>
      <c r="M252" s="31"/>
      <c r="N252" s="31"/>
      <c r="O252" s="31"/>
      <c r="P252" s="31"/>
    </row>
    <row r="253" spans="1:16" hidden="1" x14ac:dyDescent="0.25">
      <c r="A253" s="31"/>
      <c r="B253" s="31"/>
      <c r="C253" s="31"/>
      <c r="D253" s="31"/>
      <c r="E253" s="31"/>
      <c r="F253" s="31"/>
      <c r="G253" s="31"/>
      <c r="H253" s="31"/>
      <c r="I253" s="31"/>
      <c r="J253" s="31"/>
      <c r="K253" s="31"/>
      <c r="L253" s="31"/>
      <c r="M253" s="31"/>
      <c r="N253" s="31"/>
      <c r="O253" s="31"/>
      <c r="P253" s="31"/>
    </row>
    <row r="254" spans="1:16" hidden="1" x14ac:dyDescent="0.25">
      <c r="A254" s="31"/>
      <c r="B254" s="31"/>
      <c r="C254" s="31"/>
      <c r="D254" s="31"/>
      <c r="E254" s="31"/>
      <c r="F254" s="31"/>
      <c r="G254" s="31"/>
      <c r="H254" s="31"/>
      <c r="I254" s="31"/>
      <c r="J254" s="31"/>
      <c r="K254" s="31"/>
      <c r="L254" s="31"/>
      <c r="M254" s="31"/>
      <c r="N254" s="31"/>
      <c r="O254" s="31"/>
      <c r="P254" s="31"/>
    </row>
    <row r="255" spans="1:16" hidden="1" x14ac:dyDescent="0.25">
      <c r="A255" s="31"/>
      <c r="B255" s="31"/>
      <c r="C255" s="31"/>
      <c r="D255" s="31"/>
      <c r="E255" s="31"/>
      <c r="F255" s="31"/>
      <c r="G255" s="31"/>
      <c r="H255" s="31"/>
      <c r="I255" s="31"/>
      <c r="J255" s="31"/>
      <c r="K255" s="31"/>
      <c r="L255" s="31"/>
      <c r="M255" s="31"/>
      <c r="N255" s="31"/>
      <c r="O255" s="31"/>
      <c r="P255" s="31"/>
    </row>
    <row r="256" spans="1:16" hidden="1" x14ac:dyDescent="0.25">
      <c r="A256" s="31"/>
      <c r="B256" s="31"/>
      <c r="C256" s="31"/>
      <c r="D256" s="31"/>
      <c r="E256" s="31"/>
      <c r="F256" s="31"/>
      <c r="G256" s="31"/>
      <c r="H256" s="31"/>
      <c r="I256" s="31"/>
      <c r="J256" s="31"/>
      <c r="K256" s="31"/>
      <c r="L256" s="31"/>
      <c r="M256" s="31"/>
      <c r="N256" s="31"/>
      <c r="O256" s="31"/>
      <c r="P256" s="31"/>
    </row>
    <row r="257" spans="1:16" hidden="1" x14ac:dyDescent="0.25">
      <c r="A257" s="31"/>
      <c r="B257" s="31"/>
      <c r="C257" s="31"/>
      <c r="D257" s="31"/>
      <c r="E257" s="31"/>
      <c r="F257" s="31"/>
      <c r="G257" s="31"/>
      <c r="H257" s="31"/>
      <c r="I257" s="31"/>
      <c r="J257" s="31"/>
      <c r="K257" s="31"/>
      <c r="L257" s="31"/>
      <c r="M257" s="31"/>
      <c r="N257" s="31"/>
      <c r="O257" s="31"/>
      <c r="P257" s="31"/>
    </row>
    <row r="258" spans="1:16" hidden="1" x14ac:dyDescent="0.25">
      <c r="A258" s="31"/>
      <c r="B258" s="31"/>
      <c r="C258" s="31"/>
      <c r="D258" s="31"/>
      <c r="E258" s="31"/>
      <c r="F258" s="31"/>
      <c r="G258" s="31"/>
      <c r="H258" s="31"/>
      <c r="I258" s="31"/>
      <c r="J258" s="31"/>
      <c r="K258" s="31"/>
      <c r="L258" s="31"/>
      <c r="M258" s="31"/>
      <c r="N258" s="31"/>
      <c r="O258" s="31"/>
      <c r="P258" s="31"/>
    </row>
    <row r="259" spans="1:16" hidden="1" x14ac:dyDescent="0.25">
      <c r="A259" s="31"/>
      <c r="B259" s="31"/>
      <c r="C259" s="31"/>
      <c r="D259" s="31"/>
      <c r="E259" s="31"/>
      <c r="F259" s="31"/>
      <c r="G259" s="31"/>
      <c r="H259" s="31"/>
      <c r="I259" s="31"/>
      <c r="J259" s="31"/>
      <c r="K259" s="31"/>
      <c r="L259" s="31"/>
      <c r="M259" s="31"/>
      <c r="N259" s="31"/>
      <c r="O259" s="31"/>
      <c r="P259" s="31"/>
    </row>
    <row r="260" spans="1:16" hidden="1" x14ac:dyDescent="0.25">
      <c r="A260" s="31"/>
      <c r="B260" s="31"/>
      <c r="C260" s="31"/>
      <c r="D260" s="31"/>
      <c r="E260" s="31"/>
      <c r="F260" s="31"/>
      <c r="G260" s="31"/>
      <c r="H260" s="31"/>
      <c r="I260" s="31"/>
      <c r="J260" s="31"/>
      <c r="K260" s="31"/>
      <c r="L260" s="31"/>
      <c r="M260" s="31"/>
      <c r="N260" s="31"/>
      <c r="O260" s="31"/>
      <c r="P260" s="31"/>
    </row>
    <row r="261" spans="1:16" hidden="1" x14ac:dyDescent="0.25">
      <c r="A261" s="31"/>
      <c r="B261" s="31"/>
      <c r="C261" s="31"/>
      <c r="D261" s="31"/>
      <c r="E261" s="31"/>
      <c r="F261" s="31"/>
      <c r="G261" s="31"/>
      <c r="H261" s="31"/>
      <c r="I261" s="31"/>
      <c r="J261" s="31"/>
      <c r="K261" s="31"/>
      <c r="L261" s="31"/>
      <c r="M261" s="31"/>
      <c r="N261" s="31"/>
      <c r="O261" s="31"/>
      <c r="P261" s="31"/>
    </row>
    <row r="262" spans="1:16" hidden="1" x14ac:dyDescent="0.25">
      <c r="A262" s="31"/>
      <c r="B262" s="31"/>
      <c r="C262" s="31"/>
      <c r="D262" s="31"/>
      <c r="E262" s="31"/>
      <c r="F262" s="31"/>
      <c r="G262" s="31"/>
      <c r="H262" s="31"/>
      <c r="I262" s="31"/>
      <c r="J262" s="31"/>
      <c r="K262" s="31"/>
      <c r="L262" s="31"/>
      <c r="M262" s="31"/>
      <c r="N262" s="31"/>
      <c r="O262" s="31"/>
      <c r="P262" s="31"/>
    </row>
    <row r="263" spans="1:16" hidden="1" x14ac:dyDescent="0.25">
      <c r="A263" s="31"/>
      <c r="B263" s="31"/>
      <c r="C263" s="31"/>
      <c r="D263" s="31"/>
      <c r="E263" s="31"/>
      <c r="F263" s="31"/>
      <c r="G263" s="31"/>
      <c r="H263" s="31"/>
      <c r="I263" s="31"/>
      <c r="J263" s="31"/>
      <c r="K263" s="31"/>
      <c r="L263" s="31"/>
      <c r="M263" s="31"/>
      <c r="N263" s="31"/>
      <c r="O263" s="31"/>
      <c r="P263" s="31"/>
    </row>
    <row r="264" spans="1:16" hidden="1" x14ac:dyDescent="0.25">
      <c r="A264" s="31"/>
      <c r="B264" s="31"/>
      <c r="C264" s="31"/>
      <c r="D264" s="31"/>
      <c r="E264" s="31"/>
      <c r="F264" s="31"/>
      <c r="G264" s="31"/>
      <c r="H264" s="31"/>
      <c r="I264" s="31"/>
      <c r="J264" s="31"/>
      <c r="K264" s="31"/>
      <c r="L264" s="31"/>
      <c r="M264" s="31"/>
      <c r="N264" s="31"/>
      <c r="O264" s="31"/>
      <c r="P264" s="31"/>
    </row>
    <row r="265" spans="1:16" hidden="1" x14ac:dyDescent="0.25">
      <c r="A265" s="31"/>
      <c r="B265" s="31"/>
      <c r="C265" s="31"/>
      <c r="D265" s="31"/>
      <c r="E265" s="31"/>
      <c r="F265" s="31"/>
      <c r="G265" s="31"/>
      <c r="H265" s="31"/>
      <c r="I265" s="31"/>
      <c r="J265" s="31"/>
      <c r="K265" s="31"/>
      <c r="L265" s="31"/>
      <c r="M265" s="31"/>
      <c r="N265" s="31"/>
      <c r="O265" s="31"/>
      <c r="P265" s="31"/>
    </row>
    <row r="266" spans="1:16" hidden="1" x14ac:dyDescent="0.25">
      <c r="A266" s="31"/>
      <c r="B266" s="31"/>
      <c r="C266" s="31"/>
      <c r="D266" s="31"/>
      <c r="E266" s="31"/>
      <c r="F266" s="31"/>
      <c r="G266" s="31"/>
      <c r="H266" s="31"/>
      <c r="I266" s="31"/>
      <c r="J266" s="31"/>
      <c r="K266" s="31"/>
      <c r="L266" s="31"/>
      <c r="M266" s="31"/>
      <c r="N266" s="31"/>
      <c r="O266" s="31"/>
      <c r="P266" s="31"/>
    </row>
    <row r="267" spans="1:16" hidden="1" x14ac:dyDescent="0.25">
      <c r="A267" s="31"/>
      <c r="B267" s="31"/>
      <c r="C267" s="31"/>
      <c r="D267" s="31"/>
      <c r="E267" s="31"/>
      <c r="F267" s="31"/>
      <c r="G267" s="31"/>
      <c r="H267" s="31"/>
      <c r="I267" s="31"/>
      <c r="J267" s="31"/>
      <c r="K267" s="31"/>
      <c r="L267" s="31"/>
      <c r="M267" s="31"/>
      <c r="N267" s="31"/>
      <c r="O267" s="31"/>
      <c r="P267" s="31"/>
    </row>
    <row r="268" spans="1:16" hidden="1" x14ac:dyDescent="0.25">
      <c r="A268" s="31"/>
      <c r="B268" s="31"/>
      <c r="C268" s="31"/>
      <c r="D268" s="31"/>
      <c r="E268" s="31"/>
      <c r="F268" s="31"/>
      <c r="G268" s="31"/>
      <c r="H268" s="31"/>
      <c r="I268" s="31"/>
      <c r="J268" s="31"/>
      <c r="K268" s="31"/>
      <c r="L268" s="31"/>
      <c r="M268" s="31"/>
      <c r="N268" s="31"/>
      <c r="O268" s="31"/>
      <c r="P268" s="31"/>
    </row>
    <row r="269" spans="1:16" hidden="1" x14ac:dyDescent="0.25">
      <c r="A269" s="31"/>
      <c r="B269" s="31"/>
      <c r="C269" s="31"/>
      <c r="D269" s="31"/>
      <c r="E269" s="31"/>
      <c r="F269" s="31"/>
      <c r="G269" s="31"/>
      <c r="H269" s="31"/>
      <c r="I269" s="31"/>
      <c r="J269" s="31"/>
      <c r="K269" s="31"/>
      <c r="L269" s="31"/>
      <c r="M269" s="31"/>
      <c r="N269" s="31"/>
      <c r="O269" s="31"/>
      <c r="P269" s="31"/>
    </row>
    <row r="270" spans="1:16" hidden="1" x14ac:dyDescent="0.25">
      <c r="A270" s="31"/>
      <c r="B270" s="31"/>
      <c r="C270" s="31"/>
      <c r="D270" s="31"/>
      <c r="E270" s="31"/>
      <c r="F270" s="31"/>
      <c r="G270" s="31"/>
      <c r="H270" s="31"/>
      <c r="I270" s="31"/>
      <c r="J270" s="31"/>
      <c r="K270" s="31"/>
      <c r="L270" s="31"/>
      <c r="M270" s="31"/>
      <c r="N270" s="31"/>
      <c r="O270" s="31"/>
      <c r="P270" s="31"/>
    </row>
    <row r="271" spans="1:16" hidden="1" x14ac:dyDescent="0.25">
      <c r="A271" s="31"/>
      <c r="B271" s="31"/>
      <c r="C271" s="31"/>
      <c r="D271" s="31"/>
      <c r="E271" s="31"/>
      <c r="F271" s="31"/>
      <c r="G271" s="31"/>
      <c r="H271" s="31"/>
      <c r="I271" s="31"/>
      <c r="J271" s="31"/>
      <c r="K271" s="31"/>
      <c r="L271" s="31"/>
      <c r="M271" s="31"/>
      <c r="N271" s="31"/>
      <c r="O271" s="31"/>
      <c r="P271" s="31"/>
    </row>
    <row r="272" spans="1:16" hidden="1" x14ac:dyDescent="0.25">
      <c r="A272" s="31"/>
      <c r="B272" s="31"/>
      <c r="C272" s="31"/>
      <c r="D272" s="31"/>
      <c r="E272" s="31"/>
      <c r="F272" s="31"/>
      <c r="G272" s="31"/>
      <c r="H272" s="31"/>
      <c r="I272" s="31"/>
      <c r="J272" s="31"/>
      <c r="K272" s="31"/>
      <c r="L272" s="31"/>
      <c r="M272" s="31"/>
      <c r="N272" s="31"/>
      <c r="O272" s="31"/>
      <c r="P272" s="31"/>
    </row>
    <row r="273" spans="1:16" hidden="1" x14ac:dyDescent="0.25">
      <c r="A273" s="31"/>
      <c r="B273" s="31"/>
      <c r="C273" s="31"/>
      <c r="D273" s="31"/>
      <c r="E273" s="31"/>
      <c r="F273" s="31"/>
      <c r="G273" s="31"/>
      <c r="H273" s="31"/>
      <c r="I273" s="31"/>
      <c r="J273" s="31"/>
      <c r="K273" s="31"/>
      <c r="L273" s="31"/>
      <c r="M273" s="31"/>
      <c r="N273" s="31"/>
      <c r="O273" s="31"/>
      <c r="P273" s="31"/>
    </row>
    <row r="274" spans="1:16" hidden="1" x14ac:dyDescent="0.25">
      <c r="A274" s="31"/>
      <c r="B274" s="31"/>
      <c r="C274" s="31"/>
      <c r="D274" s="31"/>
      <c r="E274" s="31"/>
      <c r="F274" s="31"/>
      <c r="G274" s="31"/>
      <c r="H274" s="31"/>
      <c r="I274" s="31"/>
      <c r="J274" s="31"/>
      <c r="K274" s="31"/>
      <c r="L274" s="31"/>
      <c r="M274" s="31"/>
      <c r="N274" s="31"/>
      <c r="O274" s="31"/>
      <c r="P274" s="31"/>
    </row>
    <row r="275" spans="1:16" hidden="1" x14ac:dyDescent="0.25">
      <c r="A275" s="31"/>
      <c r="B275" s="31"/>
      <c r="C275" s="31"/>
      <c r="D275" s="31"/>
      <c r="E275" s="31"/>
      <c r="F275" s="31"/>
      <c r="G275" s="31"/>
      <c r="H275" s="31"/>
      <c r="I275" s="31"/>
      <c r="J275" s="31"/>
      <c r="K275" s="31"/>
      <c r="L275" s="31"/>
      <c r="M275" s="31"/>
      <c r="N275" s="31"/>
      <c r="O275" s="31"/>
      <c r="P275" s="31"/>
    </row>
    <row r="276" spans="1:16" hidden="1" x14ac:dyDescent="0.25">
      <c r="A276" s="31"/>
      <c r="B276" s="31"/>
      <c r="C276" s="31"/>
      <c r="D276" s="31"/>
      <c r="E276" s="31"/>
      <c r="F276" s="31"/>
      <c r="G276" s="31"/>
      <c r="H276" s="31"/>
      <c r="I276" s="31"/>
      <c r="J276" s="31"/>
      <c r="K276" s="31"/>
      <c r="L276" s="31"/>
      <c r="M276" s="31"/>
      <c r="N276" s="31"/>
      <c r="O276" s="31"/>
      <c r="P276" s="31"/>
    </row>
    <row r="277" spans="1:16" hidden="1" x14ac:dyDescent="0.25">
      <c r="A277" s="31"/>
      <c r="B277" s="31"/>
      <c r="C277" s="31"/>
      <c r="D277" s="31"/>
      <c r="E277" s="31"/>
      <c r="F277" s="31"/>
      <c r="G277" s="31"/>
      <c r="H277" s="31"/>
      <c r="I277" s="31"/>
      <c r="J277" s="31"/>
      <c r="K277" s="31"/>
      <c r="L277" s="31"/>
      <c r="M277" s="31"/>
      <c r="N277" s="31"/>
      <c r="O277" s="31"/>
      <c r="P277" s="31"/>
    </row>
    <row r="278" spans="1:16" hidden="1" x14ac:dyDescent="0.25">
      <c r="A278" s="31"/>
      <c r="B278" s="31"/>
      <c r="C278" s="31"/>
      <c r="D278" s="31"/>
      <c r="E278" s="31"/>
      <c r="F278" s="31"/>
      <c r="G278" s="31"/>
      <c r="H278" s="31"/>
      <c r="I278" s="31"/>
      <c r="J278" s="31"/>
      <c r="K278" s="31"/>
      <c r="L278" s="31"/>
      <c r="M278" s="31"/>
      <c r="N278" s="31"/>
      <c r="O278" s="31"/>
      <c r="P278" s="31"/>
    </row>
    <row r="279" spans="1:16" hidden="1" x14ac:dyDescent="0.25">
      <c r="A279" s="31"/>
      <c r="B279" s="31"/>
      <c r="C279" s="31"/>
      <c r="D279" s="31"/>
      <c r="E279" s="31"/>
      <c r="F279" s="31"/>
      <c r="G279" s="31"/>
      <c r="H279" s="31"/>
      <c r="I279" s="31"/>
      <c r="J279" s="31"/>
      <c r="K279" s="31"/>
      <c r="L279" s="31"/>
      <c r="M279" s="31"/>
      <c r="N279" s="31"/>
      <c r="O279" s="31"/>
      <c r="P279" s="31"/>
    </row>
    <row r="280" spans="1:16" hidden="1" x14ac:dyDescent="0.25">
      <c r="A280" s="31"/>
      <c r="B280" s="31"/>
      <c r="C280" s="31"/>
      <c r="D280" s="31"/>
      <c r="E280" s="31"/>
      <c r="F280" s="31"/>
      <c r="G280" s="31"/>
      <c r="H280" s="31"/>
      <c r="I280" s="31"/>
      <c r="J280" s="31"/>
      <c r="K280" s="31"/>
      <c r="L280" s="31"/>
      <c r="M280" s="31"/>
      <c r="N280" s="31"/>
      <c r="O280" s="31"/>
      <c r="P280" s="31"/>
    </row>
    <row r="281" spans="1:16" hidden="1" x14ac:dyDescent="0.25">
      <c r="A281" s="31"/>
      <c r="B281" s="31"/>
      <c r="C281" s="31"/>
      <c r="D281" s="31"/>
      <c r="E281" s="31"/>
      <c r="F281" s="31"/>
      <c r="G281" s="31"/>
      <c r="H281" s="31"/>
      <c r="I281" s="31"/>
      <c r="J281" s="31"/>
      <c r="K281" s="31"/>
      <c r="L281" s="31"/>
      <c r="M281" s="31"/>
      <c r="N281" s="31"/>
      <c r="O281" s="31"/>
      <c r="P281" s="31"/>
    </row>
    <row r="282" spans="1:16" hidden="1" x14ac:dyDescent="0.25">
      <c r="A282" s="31"/>
      <c r="B282" s="31"/>
      <c r="C282" s="31"/>
      <c r="D282" s="31"/>
      <c r="E282" s="31"/>
      <c r="F282" s="31"/>
      <c r="G282" s="31"/>
      <c r="H282" s="31"/>
      <c r="I282" s="31"/>
      <c r="J282" s="31"/>
      <c r="K282" s="31"/>
      <c r="L282" s="31"/>
      <c r="M282" s="31"/>
      <c r="N282" s="31"/>
      <c r="O282" s="31"/>
      <c r="P282" s="31"/>
    </row>
    <row r="283" spans="1:16" hidden="1" x14ac:dyDescent="0.25">
      <c r="A283" s="31"/>
      <c r="B283" s="31"/>
      <c r="C283" s="31"/>
      <c r="D283" s="31"/>
      <c r="E283" s="31"/>
      <c r="F283" s="31"/>
      <c r="G283" s="31"/>
      <c r="H283" s="31"/>
      <c r="I283" s="31"/>
      <c r="J283" s="31"/>
      <c r="K283" s="31"/>
      <c r="L283" s="31"/>
      <c r="M283" s="31"/>
      <c r="N283" s="31"/>
      <c r="O283" s="31"/>
      <c r="P283" s="31"/>
    </row>
    <row r="284" spans="1:16" hidden="1" x14ac:dyDescent="0.25">
      <c r="A284" s="31"/>
      <c r="B284" s="31"/>
      <c r="C284" s="31"/>
      <c r="D284" s="31"/>
      <c r="E284" s="31"/>
      <c r="F284" s="31"/>
      <c r="G284" s="31"/>
      <c r="H284" s="31"/>
      <c r="I284" s="31"/>
      <c r="J284" s="31"/>
      <c r="K284" s="31"/>
      <c r="L284" s="31"/>
      <c r="M284" s="31"/>
      <c r="N284" s="31"/>
      <c r="O284" s="31"/>
      <c r="P284" s="31"/>
    </row>
    <row r="285" spans="1:16" hidden="1" x14ac:dyDescent="0.25">
      <c r="A285" s="31"/>
      <c r="B285" s="31"/>
      <c r="C285" s="31"/>
      <c r="D285" s="31"/>
      <c r="E285" s="31"/>
      <c r="F285" s="31"/>
      <c r="G285" s="31"/>
      <c r="H285" s="31"/>
      <c r="I285" s="31"/>
      <c r="J285" s="31"/>
      <c r="K285" s="31"/>
      <c r="L285" s="31"/>
      <c r="M285" s="31"/>
      <c r="N285" s="31"/>
      <c r="O285" s="31"/>
      <c r="P285" s="31"/>
    </row>
    <row r="286" spans="1:16" hidden="1" x14ac:dyDescent="0.25">
      <c r="A286" s="31"/>
      <c r="B286" s="31"/>
      <c r="C286" s="31"/>
      <c r="D286" s="31"/>
      <c r="E286" s="31"/>
      <c r="F286" s="31"/>
      <c r="G286" s="31"/>
      <c r="H286" s="31"/>
      <c r="I286" s="31"/>
      <c r="J286" s="31"/>
      <c r="K286" s="31"/>
      <c r="L286" s="31"/>
      <c r="M286" s="31"/>
      <c r="N286" s="31"/>
      <c r="O286" s="31"/>
      <c r="P286" s="31"/>
    </row>
    <row r="287" spans="1:16" hidden="1" x14ac:dyDescent="0.25">
      <c r="A287" s="31"/>
      <c r="B287" s="31"/>
      <c r="C287" s="31"/>
      <c r="D287" s="31"/>
      <c r="E287" s="31"/>
      <c r="F287" s="31"/>
      <c r="G287" s="31"/>
      <c r="H287" s="31"/>
      <c r="I287" s="31"/>
      <c r="J287" s="31"/>
      <c r="K287" s="31"/>
      <c r="L287" s="31"/>
      <c r="M287" s="31"/>
      <c r="N287" s="31"/>
      <c r="O287" s="31"/>
      <c r="P287" s="31"/>
    </row>
    <row r="288" spans="1:16" hidden="1" x14ac:dyDescent="0.25">
      <c r="A288" s="31"/>
      <c r="B288" s="31"/>
      <c r="C288" s="31"/>
      <c r="D288" s="31"/>
      <c r="E288" s="31"/>
      <c r="F288" s="31"/>
      <c r="G288" s="31"/>
      <c r="H288" s="31"/>
      <c r="I288" s="31"/>
      <c r="J288" s="31"/>
      <c r="K288" s="31"/>
      <c r="L288" s="31"/>
      <c r="M288" s="31"/>
      <c r="N288" s="31"/>
      <c r="O288" s="31"/>
      <c r="P288" s="31"/>
    </row>
    <row r="289" spans="1:16" hidden="1" x14ac:dyDescent="0.25">
      <c r="A289" s="31"/>
      <c r="B289" s="31"/>
      <c r="C289" s="31"/>
      <c r="D289" s="31"/>
      <c r="E289" s="31"/>
      <c r="F289" s="31"/>
      <c r="G289" s="31"/>
      <c r="H289" s="31"/>
      <c r="I289" s="31"/>
      <c r="J289" s="31"/>
      <c r="K289" s="31"/>
      <c r="L289" s="31"/>
      <c r="M289" s="31"/>
      <c r="N289" s="31"/>
      <c r="O289" s="31"/>
      <c r="P289" s="31"/>
    </row>
    <row r="290" spans="1:16" hidden="1" x14ac:dyDescent="0.25">
      <c r="A290" s="31"/>
      <c r="B290" s="31"/>
      <c r="C290" s="31"/>
      <c r="D290" s="31"/>
      <c r="E290" s="31"/>
      <c r="F290" s="31"/>
      <c r="G290" s="31"/>
      <c r="H290" s="31"/>
      <c r="I290" s="31"/>
      <c r="J290" s="31"/>
      <c r="K290" s="31"/>
      <c r="L290" s="31"/>
      <c r="M290" s="31"/>
      <c r="N290" s="31"/>
      <c r="O290" s="31"/>
      <c r="P290" s="31"/>
    </row>
    <row r="291" spans="1:16" hidden="1" x14ac:dyDescent="0.25">
      <c r="A291" s="31"/>
      <c r="B291" s="31"/>
      <c r="C291" s="31"/>
      <c r="D291" s="31"/>
      <c r="E291" s="31"/>
      <c r="F291" s="31"/>
      <c r="G291" s="31"/>
      <c r="H291" s="31"/>
      <c r="I291" s="31"/>
      <c r="J291" s="31"/>
      <c r="K291" s="31"/>
      <c r="L291" s="31"/>
      <c r="M291" s="31"/>
      <c r="N291" s="31"/>
      <c r="O291" s="31"/>
      <c r="P291" s="31"/>
    </row>
    <row r="292" spans="1:16" hidden="1" x14ac:dyDescent="0.25">
      <c r="A292" s="31"/>
      <c r="B292" s="31"/>
      <c r="C292" s="31"/>
      <c r="D292" s="31"/>
      <c r="E292" s="31"/>
      <c r="F292" s="31"/>
      <c r="G292" s="31"/>
      <c r="H292" s="31"/>
      <c r="I292" s="31"/>
      <c r="J292" s="31"/>
      <c r="K292" s="31"/>
      <c r="L292" s="31"/>
      <c r="M292" s="31"/>
      <c r="N292" s="31"/>
      <c r="O292" s="31"/>
      <c r="P292" s="31"/>
    </row>
    <row r="293" spans="1:16" hidden="1" x14ac:dyDescent="0.25">
      <c r="A293" s="31"/>
      <c r="B293" s="31"/>
      <c r="C293" s="31"/>
      <c r="D293" s="31"/>
      <c r="E293" s="31"/>
      <c r="F293" s="31"/>
      <c r="G293" s="31"/>
      <c r="H293" s="31"/>
      <c r="I293" s="31"/>
      <c r="J293" s="31"/>
      <c r="K293" s="31"/>
      <c r="L293" s="31"/>
      <c r="M293" s="31"/>
      <c r="N293" s="31"/>
      <c r="O293" s="31"/>
      <c r="P293" s="31"/>
    </row>
    <row r="294" spans="1:16" hidden="1" x14ac:dyDescent="0.25">
      <c r="A294" s="31"/>
      <c r="B294" s="31"/>
      <c r="C294" s="31"/>
      <c r="D294" s="31"/>
      <c r="E294" s="31"/>
      <c r="F294" s="31"/>
      <c r="G294" s="31"/>
      <c r="H294" s="31"/>
      <c r="I294" s="31"/>
      <c r="J294" s="31"/>
      <c r="K294" s="31"/>
      <c r="L294" s="31"/>
      <c r="M294" s="31"/>
      <c r="N294" s="31"/>
      <c r="O294" s="31"/>
      <c r="P294" s="31"/>
    </row>
    <row r="295" spans="1:16" hidden="1" x14ac:dyDescent="0.25">
      <c r="A295" s="31"/>
      <c r="B295" s="31"/>
      <c r="C295" s="31"/>
      <c r="D295" s="31"/>
      <c r="E295" s="31"/>
      <c r="F295" s="31"/>
      <c r="G295" s="31"/>
      <c r="H295" s="31"/>
      <c r="I295" s="31"/>
      <c r="J295" s="31"/>
      <c r="K295" s="31"/>
      <c r="L295" s="31"/>
      <c r="M295" s="31"/>
      <c r="N295" s="31"/>
      <c r="O295" s="31"/>
      <c r="P295" s="31"/>
    </row>
    <row r="296" spans="1:16" hidden="1" x14ac:dyDescent="0.25">
      <c r="A296" s="31"/>
      <c r="B296" s="31"/>
      <c r="C296" s="31"/>
      <c r="D296" s="31"/>
      <c r="E296" s="31"/>
      <c r="F296" s="31"/>
      <c r="G296" s="31"/>
      <c r="H296" s="31"/>
      <c r="I296" s="31"/>
      <c r="J296" s="31"/>
      <c r="K296" s="31"/>
      <c r="L296" s="31"/>
      <c r="M296" s="31"/>
      <c r="N296" s="31"/>
      <c r="O296" s="31"/>
      <c r="P296" s="31"/>
    </row>
    <row r="297" spans="1:16" hidden="1" x14ac:dyDescent="0.25">
      <c r="A297" s="31"/>
      <c r="B297" s="31"/>
      <c r="C297" s="31"/>
      <c r="D297" s="31"/>
      <c r="E297" s="31"/>
      <c r="F297" s="31"/>
      <c r="G297" s="31"/>
      <c r="H297" s="31"/>
      <c r="I297" s="31"/>
      <c r="J297" s="31"/>
      <c r="K297" s="31"/>
      <c r="L297" s="31"/>
      <c r="M297" s="31"/>
      <c r="N297" s="31"/>
      <c r="O297" s="31"/>
      <c r="P297" s="31"/>
    </row>
    <row r="298" spans="1:16" hidden="1" x14ac:dyDescent="0.25">
      <c r="A298" s="31"/>
      <c r="B298" s="31"/>
      <c r="C298" s="31"/>
      <c r="D298" s="31"/>
      <c r="E298" s="31"/>
      <c r="F298" s="31"/>
      <c r="G298" s="31"/>
      <c r="H298" s="31"/>
      <c r="I298" s="31"/>
      <c r="J298" s="31"/>
      <c r="K298" s="31"/>
      <c r="L298" s="31"/>
      <c r="M298" s="31"/>
      <c r="N298" s="31"/>
      <c r="O298" s="31"/>
      <c r="P298" s="31"/>
    </row>
    <row r="299" spans="1:16" hidden="1" x14ac:dyDescent="0.25">
      <c r="A299" s="31"/>
      <c r="B299" s="31"/>
      <c r="C299" s="31"/>
      <c r="D299" s="31"/>
      <c r="E299" s="31"/>
      <c r="F299" s="31"/>
      <c r="G299" s="31"/>
      <c r="H299" s="31"/>
      <c r="I299" s="31"/>
      <c r="J299" s="31"/>
      <c r="K299" s="31"/>
      <c r="L299" s="31"/>
      <c r="M299" s="31"/>
      <c r="N299" s="31"/>
      <c r="O299" s="31"/>
      <c r="P299" s="31"/>
    </row>
    <row r="300" spans="1:16" hidden="1" x14ac:dyDescent="0.25">
      <c r="A300" s="31"/>
      <c r="B300" s="31"/>
      <c r="C300" s="31"/>
      <c r="D300" s="31"/>
      <c r="E300" s="31"/>
      <c r="F300" s="31"/>
      <c r="G300" s="31"/>
      <c r="H300" s="31"/>
      <c r="I300" s="31"/>
      <c r="J300" s="31"/>
      <c r="K300" s="31"/>
      <c r="L300" s="31"/>
      <c r="M300" s="31"/>
      <c r="N300" s="31"/>
      <c r="O300" s="31"/>
      <c r="P300" s="31"/>
    </row>
    <row r="301" spans="1:16" hidden="1" x14ac:dyDescent="0.25">
      <c r="A301" s="31"/>
      <c r="B301" s="31"/>
      <c r="C301" s="31"/>
      <c r="D301" s="31"/>
      <c r="E301" s="31"/>
      <c r="F301" s="31"/>
      <c r="G301" s="31"/>
      <c r="H301" s="31"/>
      <c r="I301" s="31"/>
      <c r="J301" s="31"/>
      <c r="K301" s="31"/>
      <c r="L301" s="31"/>
      <c r="M301" s="31"/>
      <c r="N301" s="31"/>
      <c r="O301" s="31"/>
      <c r="P301" s="31"/>
    </row>
    <row r="302" spans="1:16" hidden="1" x14ac:dyDescent="0.25">
      <c r="A302" s="31"/>
      <c r="B302" s="31"/>
      <c r="C302" s="31"/>
      <c r="D302" s="31"/>
      <c r="E302" s="31"/>
      <c r="F302" s="31"/>
      <c r="G302" s="31"/>
      <c r="H302" s="31"/>
      <c r="I302" s="31"/>
      <c r="J302" s="31"/>
      <c r="K302" s="31"/>
      <c r="L302" s="31"/>
      <c r="M302" s="31"/>
      <c r="N302" s="31"/>
      <c r="O302" s="31"/>
      <c r="P302" s="31"/>
    </row>
    <row r="303" spans="1:16" hidden="1" x14ac:dyDescent="0.25">
      <c r="A303" s="31"/>
      <c r="B303" s="31"/>
      <c r="C303" s="31"/>
      <c r="D303" s="31"/>
      <c r="E303" s="31"/>
      <c r="F303" s="31"/>
      <c r="G303" s="31"/>
      <c r="H303" s="31"/>
      <c r="I303" s="31"/>
      <c r="J303" s="31"/>
      <c r="K303" s="31"/>
      <c r="L303" s="31"/>
      <c r="M303" s="31"/>
      <c r="N303" s="31"/>
      <c r="O303" s="31"/>
      <c r="P303" s="31"/>
    </row>
    <row r="304" spans="1:16" hidden="1" x14ac:dyDescent="0.25">
      <c r="A304" s="31"/>
      <c r="B304" s="31"/>
      <c r="C304" s="31"/>
      <c r="D304" s="31"/>
      <c r="E304" s="31"/>
      <c r="F304" s="31"/>
      <c r="G304" s="31"/>
      <c r="H304" s="31"/>
      <c r="I304" s="31"/>
      <c r="J304" s="31"/>
      <c r="K304" s="31"/>
      <c r="L304" s="31"/>
      <c r="M304" s="31"/>
      <c r="N304" s="31"/>
      <c r="O304" s="31"/>
      <c r="P304" s="31"/>
    </row>
    <row r="305" spans="1:16" hidden="1" x14ac:dyDescent="0.25">
      <c r="A305" s="31"/>
      <c r="B305" s="31"/>
      <c r="C305" s="31"/>
      <c r="D305" s="31"/>
      <c r="E305" s="31"/>
      <c r="F305" s="31"/>
      <c r="G305" s="31"/>
      <c r="H305" s="31"/>
      <c r="I305" s="31"/>
      <c r="J305" s="31"/>
      <c r="K305" s="31"/>
      <c r="L305" s="31"/>
      <c r="M305" s="31"/>
      <c r="N305" s="31"/>
      <c r="O305" s="31"/>
      <c r="P305" s="31"/>
    </row>
    <row r="306" spans="1:16" hidden="1" x14ac:dyDescent="0.25">
      <c r="A306" s="31"/>
      <c r="B306" s="31"/>
      <c r="C306" s="31"/>
      <c r="D306" s="31"/>
      <c r="E306" s="31"/>
      <c r="F306" s="31"/>
      <c r="G306" s="31"/>
      <c r="H306" s="31"/>
      <c r="I306" s="31"/>
      <c r="J306" s="31"/>
      <c r="K306" s="31"/>
      <c r="L306" s="31"/>
      <c r="M306" s="31"/>
      <c r="N306" s="31"/>
      <c r="O306" s="31"/>
      <c r="P306" s="31"/>
    </row>
    <row r="307" spans="1:16" hidden="1" x14ac:dyDescent="0.25">
      <c r="A307" s="31"/>
      <c r="B307" s="31"/>
      <c r="C307" s="31"/>
      <c r="D307" s="31"/>
      <c r="E307" s="31"/>
      <c r="F307" s="31"/>
      <c r="G307" s="31"/>
      <c r="H307" s="31"/>
      <c r="I307" s="31"/>
      <c r="J307" s="31"/>
      <c r="K307" s="31"/>
      <c r="L307" s="31"/>
      <c r="M307" s="31"/>
      <c r="N307" s="31"/>
      <c r="O307" s="31"/>
      <c r="P307" s="31"/>
    </row>
    <row r="308" spans="1:16" hidden="1" x14ac:dyDescent="0.25">
      <c r="A308" s="31"/>
      <c r="B308" s="31"/>
      <c r="C308" s="31"/>
      <c r="D308" s="31"/>
      <c r="E308" s="31"/>
      <c r="F308" s="31"/>
      <c r="G308" s="31"/>
      <c r="H308" s="31"/>
      <c r="I308" s="31"/>
      <c r="J308" s="31"/>
      <c r="K308" s="31"/>
      <c r="L308" s="31"/>
      <c r="M308" s="31"/>
      <c r="N308" s="31"/>
      <c r="O308" s="31"/>
      <c r="P308" s="31"/>
    </row>
    <row r="309" spans="1:16" hidden="1" x14ac:dyDescent="0.25">
      <c r="A309" s="31"/>
      <c r="B309" s="31"/>
      <c r="C309" s="31"/>
      <c r="D309" s="31"/>
      <c r="E309" s="31"/>
      <c r="F309" s="31"/>
      <c r="G309" s="31"/>
      <c r="H309" s="31"/>
      <c r="I309" s="31"/>
      <c r="J309" s="31"/>
      <c r="K309" s="31"/>
      <c r="L309" s="31"/>
      <c r="M309" s="31"/>
      <c r="N309" s="31"/>
      <c r="O309" s="31"/>
      <c r="P309" s="31"/>
    </row>
    <row r="310" spans="1:16" hidden="1" x14ac:dyDescent="0.25">
      <c r="A310" s="31"/>
      <c r="B310" s="31"/>
      <c r="C310" s="31"/>
      <c r="D310" s="31"/>
      <c r="E310" s="31"/>
      <c r="F310" s="31"/>
      <c r="G310" s="31"/>
      <c r="H310" s="31"/>
      <c r="I310" s="31"/>
      <c r="J310" s="31"/>
      <c r="K310" s="31"/>
      <c r="L310" s="31"/>
      <c r="M310" s="31"/>
      <c r="N310" s="31"/>
      <c r="O310" s="31"/>
      <c r="P310" s="31"/>
    </row>
    <row r="311" spans="1:16" hidden="1" x14ac:dyDescent="0.25">
      <c r="A311" s="31"/>
      <c r="B311" s="31"/>
      <c r="C311" s="31"/>
      <c r="D311" s="31"/>
      <c r="E311" s="31"/>
      <c r="F311" s="31"/>
      <c r="G311" s="31"/>
      <c r="H311" s="31"/>
      <c r="I311" s="31"/>
      <c r="J311" s="31"/>
      <c r="K311" s="31"/>
      <c r="L311" s="31"/>
      <c r="M311" s="31"/>
      <c r="N311" s="31"/>
      <c r="O311" s="31"/>
      <c r="P311" s="31"/>
    </row>
    <row r="312" spans="1:16" hidden="1" x14ac:dyDescent="0.25">
      <c r="A312" s="31"/>
      <c r="B312" s="31"/>
      <c r="C312" s="31"/>
      <c r="D312" s="31"/>
      <c r="E312" s="31"/>
      <c r="F312" s="31"/>
      <c r="G312" s="31"/>
      <c r="H312" s="31"/>
      <c r="I312" s="31"/>
      <c r="J312" s="31"/>
      <c r="K312" s="31"/>
      <c r="L312" s="31"/>
      <c r="M312" s="31"/>
      <c r="N312" s="31"/>
      <c r="O312" s="31"/>
      <c r="P312" s="31"/>
    </row>
    <row r="313" spans="1:16" hidden="1" x14ac:dyDescent="0.25">
      <c r="A313" s="31"/>
      <c r="B313" s="31"/>
      <c r="C313" s="31"/>
      <c r="D313" s="31"/>
      <c r="E313" s="31"/>
      <c r="F313" s="31"/>
      <c r="G313" s="31"/>
      <c r="H313" s="31"/>
      <c r="I313" s="31"/>
      <c r="J313" s="31"/>
      <c r="K313" s="31"/>
      <c r="L313" s="31"/>
      <c r="M313" s="31"/>
      <c r="N313" s="31"/>
      <c r="O313" s="31"/>
      <c r="P313" s="31"/>
    </row>
    <row r="314" spans="1:16" hidden="1" x14ac:dyDescent="0.25">
      <c r="A314" s="31"/>
      <c r="B314" s="31"/>
      <c r="C314" s="31"/>
      <c r="D314" s="31"/>
      <c r="E314" s="31"/>
      <c r="F314" s="31"/>
      <c r="G314" s="31"/>
      <c r="H314" s="31"/>
      <c r="I314" s="31"/>
      <c r="J314" s="31"/>
      <c r="K314" s="31"/>
      <c r="L314" s="31"/>
      <c r="M314" s="31"/>
      <c r="N314" s="31"/>
      <c r="O314" s="31"/>
      <c r="P314" s="31"/>
    </row>
    <row r="315" spans="1:16" hidden="1" x14ac:dyDescent="0.25">
      <c r="A315" s="31"/>
      <c r="B315" s="31"/>
      <c r="C315" s="31"/>
      <c r="D315" s="31"/>
      <c r="E315" s="31"/>
      <c r="F315" s="31"/>
      <c r="G315" s="31"/>
      <c r="H315" s="31"/>
      <c r="I315" s="31"/>
      <c r="J315" s="31"/>
      <c r="K315" s="31"/>
      <c r="L315" s="31"/>
      <c r="M315" s="31"/>
      <c r="N315" s="31"/>
      <c r="O315" s="31"/>
      <c r="P315" s="31"/>
    </row>
    <row r="316" spans="1:16" hidden="1" x14ac:dyDescent="0.25">
      <c r="A316" s="31"/>
      <c r="B316" s="31"/>
      <c r="C316" s="31"/>
      <c r="D316" s="31"/>
      <c r="E316" s="31"/>
      <c r="F316" s="31"/>
      <c r="G316" s="31"/>
      <c r="H316" s="31"/>
      <c r="I316" s="31"/>
      <c r="J316" s="31"/>
      <c r="K316" s="31"/>
      <c r="L316" s="31"/>
      <c r="M316" s="31"/>
      <c r="N316" s="31"/>
      <c r="O316" s="31"/>
      <c r="P316" s="31"/>
    </row>
    <row r="317" spans="1:16" hidden="1" x14ac:dyDescent="0.25">
      <c r="A317" s="31"/>
      <c r="B317" s="31"/>
      <c r="C317" s="31"/>
      <c r="D317" s="31"/>
      <c r="E317" s="31"/>
      <c r="F317" s="31"/>
      <c r="G317" s="31"/>
      <c r="H317" s="31"/>
      <c r="I317" s="31"/>
      <c r="J317" s="31"/>
      <c r="K317" s="31"/>
      <c r="L317" s="31"/>
      <c r="M317" s="31"/>
      <c r="N317" s="31"/>
      <c r="O317" s="31"/>
      <c r="P317" s="31"/>
    </row>
    <row r="318" spans="1:16" hidden="1" x14ac:dyDescent="0.25">
      <c r="A318" s="31"/>
      <c r="B318" s="31"/>
      <c r="C318" s="31"/>
      <c r="D318" s="31"/>
      <c r="E318" s="31"/>
      <c r="F318" s="31"/>
      <c r="G318" s="31"/>
      <c r="H318" s="31"/>
      <c r="I318" s="31"/>
      <c r="J318" s="31"/>
      <c r="K318" s="31"/>
      <c r="L318" s="31"/>
      <c r="M318" s="31"/>
      <c r="N318" s="31"/>
      <c r="O318" s="31"/>
      <c r="P318" s="31"/>
    </row>
    <row r="319" spans="1:16" hidden="1" x14ac:dyDescent="0.25">
      <c r="A319" s="31"/>
      <c r="B319" s="31"/>
      <c r="C319" s="31"/>
      <c r="D319" s="31"/>
      <c r="E319" s="31"/>
      <c r="F319" s="31"/>
      <c r="G319" s="31"/>
      <c r="H319" s="31"/>
      <c r="I319" s="31"/>
      <c r="J319" s="31"/>
      <c r="K319" s="31"/>
      <c r="L319" s="31"/>
      <c r="M319" s="31"/>
      <c r="N319" s="31"/>
      <c r="O319" s="31"/>
      <c r="P319" s="31"/>
    </row>
    <row r="320" spans="1:16" hidden="1" x14ac:dyDescent="0.25">
      <c r="A320" s="31"/>
      <c r="B320" s="31"/>
      <c r="C320" s="31"/>
      <c r="D320" s="31"/>
      <c r="E320" s="31"/>
      <c r="F320" s="31"/>
      <c r="G320" s="31"/>
      <c r="H320" s="31"/>
      <c r="I320" s="31"/>
      <c r="J320" s="31"/>
      <c r="K320" s="31"/>
      <c r="L320" s="31"/>
      <c r="M320" s="31"/>
      <c r="N320" s="31"/>
      <c r="O320" s="31"/>
      <c r="P320" s="31"/>
    </row>
  </sheetData>
  <sheetProtection password="B65E" sheet="1" objects="1" scenarios="1"/>
  <mergeCells count="49">
    <mergeCell ref="S53:T53"/>
    <mergeCell ref="U53:V53"/>
    <mergeCell ref="W53:X53"/>
    <mergeCell ref="C78:E78"/>
    <mergeCell ref="I53:J53"/>
    <mergeCell ref="K53:L53"/>
    <mergeCell ref="M53:N53"/>
    <mergeCell ref="C61:E61"/>
    <mergeCell ref="C62:E62"/>
    <mergeCell ref="C55:E55"/>
    <mergeCell ref="C56:E56"/>
    <mergeCell ref="C58:E58"/>
    <mergeCell ref="C59:E59"/>
    <mergeCell ref="C76:E76"/>
    <mergeCell ref="C64:E64"/>
    <mergeCell ref="Q53:R53"/>
    <mergeCell ref="AU53:AV53"/>
    <mergeCell ref="AW53:AX53"/>
    <mergeCell ref="B49:G49"/>
    <mergeCell ref="B47:G47"/>
    <mergeCell ref="AI53:AJ53"/>
    <mergeCell ref="AK53:AL53"/>
    <mergeCell ref="AM53:AN53"/>
    <mergeCell ref="AO53:AP53"/>
    <mergeCell ref="AQ53:AR53"/>
    <mergeCell ref="Y53:Z53"/>
    <mergeCell ref="AA53:AB53"/>
    <mergeCell ref="AC53:AD53"/>
    <mergeCell ref="AE53:AF53"/>
    <mergeCell ref="AG53:AH53"/>
    <mergeCell ref="O53:P53"/>
    <mergeCell ref="AS53:AT53"/>
    <mergeCell ref="C80:E80"/>
    <mergeCell ref="C77:E77"/>
    <mergeCell ref="B48:G48"/>
    <mergeCell ref="B50:G50"/>
    <mergeCell ref="C66:E66"/>
    <mergeCell ref="B43:G43"/>
    <mergeCell ref="B44:G44"/>
    <mergeCell ref="B45:G45"/>
    <mergeCell ref="B46:G46"/>
    <mergeCell ref="C75:E75"/>
    <mergeCell ref="G53:H53"/>
    <mergeCell ref="C70:E70"/>
    <mergeCell ref="C71:E71"/>
    <mergeCell ref="C74:E74"/>
    <mergeCell ref="C72:E72"/>
    <mergeCell ref="C73:E73"/>
    <mergeCell ref="C65:E65"/>
  </mergeCells>
  <pageMargins left="0.7" right="0.7" top="0.78740157499999996" bottom="0.78740157499999996" header="0.3" footer="0.3"/>
  <pageSetup paperSize="9" scale="52" orientation="portrait" r:id="rId1"/>
  <colBreaks count="1" manualBreakCount="1">
    <brk id="18" max="81" man="1"/>
  </colBreaks>
  <ignoredErrors>
    <ignoredError sqref="K53 M53:AX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DCD40A21B6C9D498B1776F56A3360F7" ma:contentTypeVersion="17" ma:contentTypeDescription="Vytvoří nový dokument" ma:contentTypeScope="" ma:versionID="f06f46163cbda81166760d27d4b3e1b4">
  <xsd:schema xmlns:xsd="http://www.w3.org/2001/XMLSchema" xmlns:xs="http://www.w3.org/2001/XMLSchema" xmlns:p="http://schemas.microsoft.com/office/2006/metadata/properties" xmlns:ns2="04ef2e24-ca87-4526-a4f8-62a1780992b4" xmlns:ns3="02c16d56-20f0-45c1-8c23-fd99bd07d41c" targetNamespace="http://schemas.microsoft.com/office/2006/metadata/properties" ma:root="true" ma:fieldsID="0d627975c9cfd34dfd6681a46a61b855" ns2:_="" ns3:_="">
    <xsd:import namespace="04ef2e24-ca87-4526-a4f8-62a1780992b4"/>
    <xsd:import namespace="02c16d56-20f0-45c1-8c23-fd99bd07d4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ef2e24-ca87-4526-a4f8-62a1780992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67b7b7de-46d6-4d16-8edf-0f0b32fa27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c16d56-20f0-45c1-8c23-fd99bd07d41c" elementFormDefault="qualified">
    <xsd:import namespace="http://schemas.microsoft.com/office/2006/documentManagement/types"/>
    <xsd:import namespace="http://schemas.microsoft.com/office/infopath/2007/PartnerControls"/>
    <xsd:element name="SharedWithUsers" ma:index="16"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bf153c3b-3ae4-41f4-8550-1f5515da9e3f}" ma:internalName="TaxCatchAll" ma:showField="CatchAllData" ma:web="02c16d56-20f0-45c1-8c23-fd99bd07d4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99ED5C-AA95-4680-9550-7A03F4BB1806}">
  <ds:schemaRefs>
    <ds:schemaRef ds:uri="http://schemas.microsoft.com/sharepoint/v3/contenttype/forms"/>
  </ds:schemaRefs>
</ds:datastoreItem>
</file>

<file path=customXml/itemProps2.xml><?xml version="1.0" encoding="utf-8"?>
<ds:datastoreItem xmlns:ds="http://schemas.openxmlformats.org/officeDocument/2006/customXml" ds:itemID="{EF59368F-CAEA-4996-8A06-9519C0D9D3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ef2e24-ca87-4526-a4f8-62a1780992b4"/>
    <ds:schemaRef ds:uri="02c16d56-20f0-45c1-8c23-fd99bd07d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4</vt:i4>
      </vt:variant>
    </vt:vector>
  </HeadingPairs>
  <TitlesOfParts>
    <vt:vector size="13" baseType="lpstr">
      <vt:lpstr>Krycí list</vt:lpstr>
      <vt:lpstr>Postup</vt:lpstr>
      <vt:lpstr>Nabídka</vt:lpstr>
      <vt:lpstr>Provozování</vt:lpstr>
      <vt:lpstr>Kalkulace a Porovnání</vt:lpstr>
      <vt:lpstr>Dvousložková cena</vt:lpstr>
      <vt:lpstr>Tisk</vt:lpstr>
      <vt:lpstr>Legenda</vt:lpstr>
      <vt:lpstr>Výpočty</vt:lpstr>
      <vt:lpstr>'Krycí list'!Oblast_tisku</vt:lpstr>
      <vt:lpstr>Nabídka!Oblast_tisku</vt:lpstr>
      <vt:lpstr>Postup!Oblast_tisku</vt:lpstr>
      <vt:lpstr>Tisk!Oblast_tisku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SFŽP</dc:creator>
  <cp:lastModifiedBy>Veronika Zemanová Korchová</cp:lastModifiedBy>
  <cp:lastPrinted>2023-10-30T10:03:02Z</cp:lastPrinted>
  <dcterms:created xsi:type="dcterms:W3CDTF">2015-02-23T09:38:26Z</dcterms:created>
  <dcterms:modified xsi:type="dcterms:W3CDTF">2024-04-08T08:07:23Z</dcterms:modified>
</cp:coreProperties>
</file>